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12000" windowHeight="6750" activeTab="0"/>
  </bookViews>
  <sheets>
    <sheet name="CustosGerais" sheetId="1" r:id="rId1"/>
    <sheet name="Clientes" sheetId="2" r:id="rId2"/>
    <sheet name="CustosxHonorarios" sheetId="3" r:id="rId3"/>
    <sheet name="CustosIndiv" sheetId="4" r:id="rId4"/>
  </sheets>
  <definedNames/>
  <calcPr fullCalcOnLoad="1"/>
</workbook>
</file>

<file path=xl/sharedStrings.xml><?xml version="1.0" encoding="utf-8"?>
<sst xmlns="http://schemas.openxmlformats.org/spreadsheetml/2006/main" count="160" uniqueCount="160">
  <si>
    <t xml:space="preserve">PLANILHA DE CUSTO INDIVIDUALIZADO DE HONORÁRIOS </t>
  </si>
  <si>
    <t>Data/Base:</t>
  </si>
  <si>
    <t>Descrição</t>
  </si>
  <si>
    <t>Depto.fiscal</t>
  </si>
  <si>
    <t>Depto.contábil</t>
  </si>
  <si>
    <t>Depto.Pessoal</t>
  </si>
  <si>
    <t>Administrativo</t>
  </si>
  <si>
    <t>Custo Salarial</t>
  </si>
  <si>
    <t>13º Salário</t>
  </si>
  <si>
    <t>Férias</t>
  </si>
  <si>
    <t>TOTAL CUSTOS</t>
  </si>
  <si>
    <t>Participação custo salarial total</t>
  </si>
  <si>
    <t>Propaganda e publicidade</t>
  </si>
  <si>
    <t>Treinamento Pessoal</t>
  </si>
  <si>
    <t>Aluguel</t>
  </si>
  <si>
    <t>Energia Eletrica</t>
  </si>
  <si>
    <t>Manutenções diversas</t>
  </si>
  <si>
    <t>Manutenções softwares</t>
  </si>
  <si>
    <t>Material escritório</t>
  </si>
  <si>
    <t>Telefones</t>
  </si>
  <si>
    <t>Pró - labore</t>
  </si>
  <si>
    <t>TOTAL CUSTO FIXO</t>
  </si>
  <si>
    <t>RATEIO DOS CUSTOS</t>
  </si>
  <si>
    <t>D.fiscal</t>
  </si>
  <si>
    <t>D.contábil</t>
  </si>
  <si>
    <t>D.Pessoal</t>
  </si>
  <si>
    <t>Custo Salarial + encargos</t>
  </si>
  <si>
    <t>Rateio salarial administrativos</t>
  </si>
  <si>
    <t>Rateio custos fixos</t>
  </si>
  <si>
    <t xml:space="preserve">CUSTO TOTAL </t>
  </si>
  <si>
    <t>CUSTO TOTAL GERAL</t>
  </si>
  <si>
    <t>CUSTO INDIVIDUALIZADO</t>
  </si>
  <si>
    <t>Nº</t>
  </si>
  <si>
    <t>EMPRESA</t>
  </si>
  <si>
    <t>NFs Entrada</t>
  </si>
  <si>
    <t>NFs Saida</t>
  </si>
  <si>
    <t>NFs Serv</t>
  </si>
  <si>
    <t>Tot.NFs</t>
  </si>
  <si>
    <t>Nº Lançam</t>
  </si>
  <si>
    <t>Empregados</t>
  </si>
  <si>
    <t>001</t>
  </si>
  <si>
    <t>JS</t>
  </si>
  <si>
    <t>006</t>
  </si>
  <si>
    <t>ABC</t>
  </si>
  <si>
    <t>013</t>
  </si>
  <si>
    <t>XYZ</t>
  </si>
  <si>
    <t>015</t>
  </si>
  <si>
    <t>VVV</t>
  </si>
  <si>
    <t>016</t>
  </si>
  <si>
    <t>TAB</t>
  </si>
  <si>
    <t>023</t>
  </si>
  <si>
    <t>YO0O</t>
  </si>
  <si>
    <t>024</t>
  </si>
  <si>
    <t>UIO</t>
  </si>
  <si>
    <t>025</t>
  </si>
  <si>
    <t>IEO</t>
  </si>
  <si>
    <t>027</t>
  </si>
  <si>
    <t>OEI</t>
  </si>
  <si>
    <t>028</t>
  </si>
  <si>
    <t>OEUI</t>
  </si>
  <si>
    <t>030</t>
  </si>
  <si>
    <t>ONM</t>
  </si>
  <si>
    <t>031</t>
  </si>
  <si>
    <t>IOMB</t>
  </si>
  <si>
    <t>036</t>
  </si>
  <si>
    <t>IOO</t>
  </si>
  <si>
    <t>041</t>
  </si>
  <si>
    <t>MNN</t>
  </si>
  <si>
    <t>042</t>
  </si>
  <si>
    <t>MM</t>
  </si>
  <si>
    <t>044</t>
  </si>
  <si>
    <t>MEB</t>
  </si>
  <si>
    <t>046</t>
  </si>
  <si>
    <t>EAD</t>
  </si>
  <si>
    <t>055</t>
  </si>
  <si>
    <t>EIA</t>
  </si>
  <si>
    <t>062</t>
  </si>
  <si>
    <t>ILMNB</t>
  </si>
  <si>
    <t>063</t>
  </si>
  <si>
    <t>IMM</t>
  </si>
  <si>
    <t>066</t>
  </si>
  <si>
    <t>IMMB</t>
  </si>
  <si>
    <t>073</t>
  </si>
  <si>
    <t>NBU</t>
  </si>
  <si>
    <t>076</t>
  </si>
  <si>
    <t>FIL</t>
  </si>
  <si>
    <t>081</t>
  </si>
  <si>
    <t>INN</t>
  </si>
  <si>
    <t>082</t>
  </si>
  <si>
    <t>NBI</t>
  </si>
  <si>
    <t>083</t>
  </si>
  <si>
    <t>UIB</t>
  </si>
  <si>
    <t>090</t>
  </si>
  <si>
    <t>UOO</t>
  </si>
  <si>
    <t>093</t>
  </si>
  <si>
    <t>NMB</t>
  </si>
  <si>
    <t>105</t>
  </si>
  <si>
    <t>ABD</t>
  </si>
  <si>
    <t>118</t>
  </si>
  <si>
    <t>OIP</t>
  </si>
  <si>
    <t>148</t>
  </si>
  <si>
    <t>OOOU</t>
  </si>
  <si>
    <t>158</t>
  </si>
  <si>
    <t>IUI</t>
  </si>
  <si>
    <t>162</t>
  </si>
  <si>
    <t>XLC</t>
  </si>
  <si>
    <t>165</t>
  </si>
  <si>
    <t>UOX</t>
  </si>
  <si>
    <t>166</t>
  </si>
  <si>
    <t>ZZI</t>
  </si>
  <si>
    <t>168</t>
  </si>
  <si>
    <t>ZIO</t>
  </si>
  <si>
    <t>TOTAL</t>
  </si>
  <si>
    <t>Empresa</t>
  </si>
  <si>
    <t>Custo DF</t>
  </si>
  <si>
    <t>Custo DC</t>
  </si>
  <si>
    <t>Custo DP</t>
  </si>
  <si>
    <t>C.Total</t>
  </si>
  <si>
    <t>Hon.Ideal</t>
  </si>
  <si>
    <t>Honorário</t>
  </si>
  <si>
    <t>Deficit</t>
  </si>
  <si>
    <t>Superavit</t>
  </si>
  <si>
    <t>Custo Depº Fiscal</t>
  </si>
  <si>
    <t>Custo Depº Contábil</t>
  </si>
  <si>
    <t>Custo Depº Pessoal</t>
  </si>
  <si>
    <t>ENCARGOS S/RECEITA BRUTA</t>
  </si>
  <si>
    <t>Pis</t>
  </si>
  <si>
    <t>Cofins</t>
  </si>
  <si>
    <t>Contribuição social s/lucro</t>
  </si>
  <si>
    <t>IRPJ</t>
  </si>
  <si>
    <t>Total Encargos s/receita</t>
  </si>
  <si>
    <t>Margem Lucro</t>
  </si>
  <si>
    <t>PLANILHA DE CUSTOS DE HONORÁRIOS</t>
  </si>
  <si>
    <t>EMPRESA:</t>
  </si>
  <si>
    <t>DATA:</t>
  </si>
  <si>
    <t>HONORÁRIO ATUAL</t>
  </si>
  <si>
    <t>DESCRIÇÃO DOS CUSTOS</t>
  </si>
  <si>
    <t xml:space="preserve">Custos  </t>
  </si>
  <si>
    <t>Quantid.</t>
  </si>
  <si>
    <t>Vr unitar.</t>
  </si>
  <si>
    <t>Custo</t>
  </si>
  <si>
    <t>Departamento Fiscal</t>
  </si>
  <si>
    <t>Departamento Contábil</t>
  </si>
  <si>
    <t>Departamento Pessoal</t>
  </si>
  <si>
    <t>Custo Total</t>
  </si>
  <si>
    <t>RECEITA BRUTA</t>
  </si>
  <si>
    <t>TRIBUTOS FEDERAIS</t>
  </si>
  <si>
    <t>RECEITA LIQUIDA</t>
  </si>
  <si>
    <t>CUSTO TOTAL</t>
  </si>
  <si>
    <t>LUCRO LIQUIDO</t>
  </si>
  <si>
    <t>MARGEM LUCRO</t>
  </si>
  <si>
    <t>CUSTOS FIXOS MENSAIS</t>
  </si>
  <si>
    <t>Tarifas Bancárias</t>
  </si>
  <si>
    <t>INSS</t>
  </si>
  <si>
    <t>FGTS</t>
  </si>
  <si>
    <t>INSS+FGTS s/ 13º e Férias</t>
  </si>
  <si>
    <t>Multa Rescisória 50% FGTS</t>
  </si>
  <si>
    <t>Vale Transporte e Refeição</t>
  </si>
  <si>
    <t>Soma Encargos</t>
  </si>
  <si>
    <t>Despesas Gerais (CRC, Cont. Sindical, Depreciação, etc.)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</si>
</sst>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#,##0.00"/>
  </numFmts>
  <fonts count="11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indexed="55"/>
      <name val="Arial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10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43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3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43" fontId="0" fillId="3" borderId="0" xfId="0" applyNumberFormat="1" applyFill="1" applyAlignment="1">
      <alignment/>
    </xf>
    <xf numFmtId="43" fontId="2" fillId="3" borderId="3" xfId="0" applyNumberFormat="1" applyFont="1" applyFill="1" applyBorder="1" applyAlignment="1">
      <alignment/>
    </xf>
    <xf numFmtId="43" fontId="0" fillId="4" borderId="0" xfId="0" applyNumberFormat="1" applyFill="1" applyAlignment="1">
      <alignment/>
    </xf>
    <xf numFmtId="43" fontId="2" fillId="4" borderId="3" xfId="0" applyNumberFormat="1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43" fontId="2" fillId="0" borderId="7" xfId="0" applyNumberFormat="1" applyFont="1" applyBorder="1" applyAlignment="1">
      <alignment/>
    </xf>
    <xf numFmtId="43" fontId="3" fillId="4" borderId="1" xfId="0" applyNumberFormat="1" applyFont="1" applyFill="1" applyBorder="1" applyAlignment="1">
      <alignment horizontal="center"/>
    </xf>
    <xf numFmtId="43" fontId="2" fillId="4" borderId="5" xfId="0" applyNumberFormat="1" applyFont="1" applyFill="1" applyBorder="1" applyAlignment="1">
      <alignment/>
    </xf>
    <xf numFmtId="43" fontId="3" fillId="3" borderId="1" xfId="0" applyNumberFormat="1" applyFont="1" applyFill="1" applyBorder="1" applyAlignment="1">
      <alignment horizontal="center"/>
    </xf>
    <xf numFmtId="43" fontId="2" fillId="3" borderId="5" xfId="0" applyNumberFormat="1" applyFont="1" applyFill="1" applyBorder="1" applyAlignment="1">
      <alignment/>
    </xf>
    <xf numFmtId="43" fontId="2" fillId="3" borderId="8" xfId="0" applyNumberFormat="1" applyFont="1" applyFill="1" applyBorder="1" applyAlignment="1">
      <alignment/>
    </xf>
    <xf numFmtId="0" fontId="0" fillId="0" borderId="1" xfId="0" applyBorder="1" applyAlignment="1">
      <alignment/>
    </xf>
    <xf numFmtId="43" fontId="0" fillId="0" borderId="1" xfId="0" applyNumberForma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3" fontId="2" fillId="3" borderId="2" xfId="0" applyNumberFormat="1" applyFont="1" applyFill="1" applyBorder="1" applyAlignment="1">
      <alignment/>
    </xf>
    <xf numFmtId="43" fontId="7" fillId="4" borderId="3" xfId="0" applyNumberFormat="1" applyFont="1" applyFill="1" applyBorder="1" applyAlignment="1">
      <alignment horizontal="right"/>
    </xf>
    <xf numFmtId="43" fontId="7" fillId="3" borderId="3" xfId="0" applyNumberFormat="1" applyFont="1" applyFill="1" applyBorder="1" applyAlignment="1">
      <alignment horizontal="right"/>
    </xf>
    <xf numFmtId="43" fontId="7" fillId="4" borderId="9" xfId="0" applyNumberFormat="1" applyFont="1" applyFill="1" applyBorder="1" applyAlignment="1">
      <alignment horizontal="right"/>
    </xf>
    <xf numFmtId="0" fontId="4" fillId="0" borderId="1" xfId="0" applyFont="1" applyBorder="1" applyAlignment="1">
      <alignment/>
    </xf>
    <xf numFmtId="43" fontId="0" fillId="3" borderId="1" xfId="0" applyNumberFormat="1" applyFill="1" applyBorder="1" applyAlignment="1">
      <alignment/>
    </xf>
    <xf numFmtId="10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9" fontId="2" fillId="0" borderId="1" xfId="0" applyNumberFormat="1" applyFont="1" applyBorder="1" applyAlignment="1">
      <alignment/>
    </xf>
    <xf numFmtId="10" fontId="2" fillId="0" borderId="9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43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43" fontId="0" fillId="0" borderId="0" xfId="0" applyNumberFormat="1" applyFill="1" applyAlignment="1">
      <alignment/>
    </xf>
    <xf numFmtId="0" fontId="6" fillId="5" borderId="0" xfId="0" applyFont="1" applyFill="1" applyAlignment="1">
      <alignment horizontal="centerContinuous"/>
    </xf>
    <xf numFmtId="0" fontId="3" fillId="0" borderId="1" xfId="0" applyFont="1" applyBorder="1" applyAlignment="1">
      <alignment horizontal="centerContinuous"/>
    </xf>
    <xf numFmtId="43" fontId="0" fillId="0" borderId="4" xfId="0" applyNumberFormat="1" applyBorder="1" applyAlignment="1">
      <alignment horizontal="centerContinuous"/>
    </xf>
    <xf numFmtId="43" fontId="0" fillId="0" borderId="5" xfId="0" applyNumberForma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3" fontId="0" fillId="0" borderId="0" xfId="0" applyNumberFormat="1" applyFont="1" applyAlignment="1">
      <alignment horizontal="right"/>
    </xf>
    <xf numFmtId="43" fontId="0" fillId="0" borderId="0" xfId="0" applyNumberFormat="1" applyFont="1" applyAlignment="1">
      <alignment/>
    </xf>
    <xf numFmtId="43" fontId="0" fillId="4" borderId="1" xfId="0" applyNumberFormat="1" applyFill="1" applyBorder="1" applyAlignment="1">
      <alignment/>
    </xf>
    <xf numFmtId="43" fontId="5" fillId="4" borderId="1" xfId="0" applyNumberFormat="1" applyFont="1" applyFill="1" applyBorder="1" applyAlignment="1">
      <alignment/>
    </xf>
    <xf numFmtId="43" fontId="9" fillId="4" borderId="1" xfId="0" applyNumberFormat="1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43" fontId="0" fillId="6" borderId="1" xfId="0" applyNumberFormat="1" applyFill="1" applyBorder="1" applyAlignment="1">
      <alignment/>
    </xf>
    <xf numFmtId="43" fontId="0" fillId="7" borderId="1" xfId="0" applyNumberFormat="1" applyFill="1" applyBorder="1" applyAlignment="1">
      <alignment/>
    </xf>
    <xf numFmtId="10" fontId="0" fillId="3" borderId="1" xfId="0" applyNumberFormat="1" applyFill="1" applyBorder="1" applyAlignment="1">
      <alignment/>
    </xf>
    <xf numFmtId="10" fontId="0" fillId="6" borderId="1" xfId="0" applyNumberFormat="1" applyFill="1" applyBorder="1" applyAlignment="1">
      <alignment/>
    </xf>
    <xf numFmtId="10" fontId="0" fillId="7" borderId="1" xfId="0" applyNumberFormat="1" applyFill="1" applyBorder="1" applyAlignment="1">
      <alignment/>
    </xf>
    <xf numFmtId="0" fontId="2" fillId="7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1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43" fontId="1" fillId="0" borderId="0" xfId="0" applyNumberFormat="1" applyFont="1" applyFill="1" applyAlignment="1">
      <alignment horizontal="right"/>
    </xf>
    <xf numFmtId="10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0" fontId="3" fillId="0" borderId="1" xfId="0" applyFont="1" applyFill="1" applyBorder="1" applyAlignment="1">
      <alignment horizontal="right"/>
    </xf>
    <xf numFmtId="0" fontId="0" fillId="0" borderId="1" xfId="0" applyBorder="1" applyAlignment="1">
      <alignment horizontal="centerContinuous"/>
    </xf>
    <xf numFmtId="0" fontId="0" fillId="0" borderId="1" xfId="0" applyFill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Continuous"/>
    </xf>
    <xf numFmtId="10" fontId="2" fillId="0" borderId="10" xfId="0" applyNumberFormat="1" applyFont="1" applyBorder="1" applyAlignment="1">
      <alignment/>
    </xf>
    <xf numFmtId="43" fontId="2" fillId="3" borderId="10" xfId="0" applyNumberFormat="1" applyFont="1" applyFill="1" applyBorder="1" applyAlignment="1">
      <alignment/>
    </xf>
    <xf numFmtId="43" fontId="2" fillId="6" borderId="10" xfId="0" applyNumberFormat="1" applyFont="1" applyFill="1" applyBorder="1" applyAlignment="1">
      <alignment/>
    </xf>
    <xf numFmtId="43" fontId="2" fillId="7" borderId="10" xfId="0" applyNumberFormat="1" applyFont="1" applyFill="1" applyBorder="1" applyAlignment="1">
      <alignment/>
    </xf>
    <xf numFmtId="43" fontId="2" fillId="4" borderId="10" xfId="0" applyNumberFormat="1" applyFont="1" applyFill="1" applyBorder="1" applyAlignment="1">
      <alignment/>
    </xf>
    <xf numFmtId="10" fontId="0" fillId="0" borderId="19" xfId="0" applyNumberFormat="1" applyBorder="1" applyAlignment="1">
      <alignment/>
    </xf>
    <xf numFmtId="43" fontId="0" fillId="3" borderId="19" xfId="0" applyNumberFormat="1" applyFill="1" applyBorder="1" applyAlignment="1">
      <alignment/>
    </xf>
    <xf numFmtId="43" fontId="0" fillId="6" borderId="19" xfId="0" applyNumberFormat="1" applyFill="1" applyBorder="1" applyAlignment="1">
      <alignment/>
    </xf>
    <xf numFmtId="43" fontId="0" fillId="7" borderId="19" xfId="0" applyNumberFormat="1" applyFill="1" applyBorder="1" applyAlignment="1">
      <alignment/>
    </xf>
    <xf numFmtId="43" fontId="0" fillId="4" borderId="19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5" fillId="0" borderId="19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5.57421875" style="0" customWidth="1"/>
    <col min="2" max="2" width="11.00390625" style="0" customWidth="1"/>
    <col min="3" max="3" width="12.7109375" style="0" customWidth="1"/>
    <col min="4" max="4" width="14.57421875" style="0" customWidth="1"/>
    <col min="5" max="5" width="14.00390625" style="0" customWidth="1"/>
    <col min="6" max="6" width="13.57421875" style="0" customWidth="1"/>
  </cols>
  <sheetData>
    <row r="1" spans="1:6" ht="12.75">
      <c r="A1" s="45" t="s">
        <v>0</v>
      </c>
      <c r="B1" s="45"/>
      <c r="C1" s="45"/>
      <c r="D1" s="45"/>
      <c r="E1" s="45"/>
      <c r="F1" s="45"/>
    </row>
    <row r="2" spans="1:6" ht="12.75">
      <c r="A2" s="49" t="s">
        <v>1</v>
      </c>
      <c r="B2" s="49"/>
      <c r="C2" s="49"/>
      <c r="D2" s="108">
        <v>39845</v>
      </c>
      <c r="F2" s="49"/>
    </row>
    <row r="3" spans="1:6" ht="12.75">
      <c r="A3" s="8" t="s">
        <v>2</v>
      </c>
      <c r="B3" s="7"/>
      <c r="C3" s="71" t="s">
        <v>3</v>
      </c>
      <c r="D3" s="81" t="s">
        <v>4</v>
      </c>
      <c r="E3" s="82" t="s">
        <v>5</v>
      </c>
      <c r="F3" s="83" t="s">
        <v>6</v>
      </c>
    </row>
    <row r="4" spans="1:6" ht="12.75">
      <c r="A4" s="84" t="s">
        <v>7</v>
      </c>
      <c r="B4" s="25"/>
      <c r="C4" s="36">
        <v>2100</v>
      </c>
      <c r="D4" s="85">
        <v>2300</v>
      </c>
      <c r="E4" s="86">
        <v>2400</v>
      </c>
      <c r="F4" s="77">
        <v>1100</v>
      </c>
    </row>
    <row r="5" spans="1:6" ht="12.75">
      <c r="A5" s="84" t="s">
        <v>153</v>
      </c>
      <c r="B5" s="37">
        <v>0.288</v>
      </c>
      <c r="C5" s="36">
        <f>C4*$B$5</f>
        <v>604.8</v>
      </c>
      <c r="D5" s="85">
        <f>D4*$B$5</f>
        <v>662.4</v>
      </c>
      <c r="E5" s="86">
        <f>E4*$B$5</f>
        <v>691.1999999999999</v>
      </c>
      <c r="F5" s="77">
        <f>F4*$B$5</f>
        <v>316.79999999999995</v>
      </c>
    </row>
    <row r="6" spans="1:6" ht="12.75">
      <c r="A6" s="84" t="s">
        <v>154</v>
      </c>
      <c r="B6" s="37">
        <v>0.08</v>
      </c>
      <c r="C6" s="36">
        <f>C4*$B$6</f>
        <v>168</v>
      </c>
      <c r="D6" s="85">
        <f>D4*$B$6</f>
        <v>184</v>
      </c>
      <c r="E6" s="86">
        <f>E4*$B$6</f>
        <v>192</v>
      </c>
      <c r="F6" s="77">
        <f>F4*$B$6</f>
        <v>88</v>
      </c>
    </row>
    <row r="7" spans="1:6" ht="12.75">
      <c r="A7" s="84" t="s">
        <v>8</v>
      </c>
      <c r="B7" s="37">
        <f>1/12</f>
        <v>0.08333333333333333</v>
      </c>
      <c r="C7" s="36">
        <f>C4*$B$7</f>
        <v>175</v>
      </c>
      <c r="D7" s="85">
        <f>D4*$B$7</f>
        <v>191.66666666666666</v>
      </c>
      <c r="E7" s="86">
        <f>E4*$B$7</f>
        <v>200</v>
      </c>
      <c r="F7" s="77">
        <f>F4*$B$7</f>
        <v>91.66666666666666</v>
      </c>
    </row>
    <row r="8" spans="1:6" ht="12.75">
      <c r="A8" s="84" t="s">
        <v>9</v>
      </c>
      <c r="B8" s="37">
        <f>1/12*1.3333</f>
        <v>0.11110833333333332</v>
      </c>
      <c r="C8" s="36">
        <f>C4*$B$8</f>
        <v>233.3275</v>
      </c>
      <c r="D8" s="85">
        <f>D4*$B$8</f>
        <v>255.54916666666665</v>
      </c>
      <c r="E8" s="86">
        <f>E4*$B$8</f>
        <v>266.65999999999997</v>
      </c>
      <c r="F8" s="77">
        <f>F4*$B$8</f>
        <v>122.21916666666665</v>
      </c>
    </row>
    <row r="9" spans="1:6" ht="12.75">
      <c r="A9" s="84" t="s">
        <v>155</v>
      </c>
      <c r="B9" s="37">
        <f>SUM(B5:B6)*(SUM(B7:B8))</f>
        <v>0.07155453333333332</v>
      </c>
      <c r="C9" s="36">
        <f>C5*$B$8</f>
        <v>67.19832</v>
      </c>
      <c r="D9" s="85">
        <f>D5*$B$8</f>
        <v>73.59816</v>
      </c>
      <c r="E9" s="86">
        <f>E5*$B$8</f>
        <v>76.79807999999998</v>
      </c>
      <c r="F9" s="77">
        <f>F5*$B$8</f>
        <v>35.19911999999999</v>
      </c>
    </row>
    <row r="10" spans="1:7" ht="12.75">
      <c r="A10" s="84" t="s">
        <v>156</v>
      </c>
      <c r="B10" s="37">
        <f>(B6+B8*B6)*50%</f>
        <v>0.044444333333333336</v>
      </c>
      <c r="C10" s="36">
        <f>C4*$B$10</f>
        <v>93.3331</v>
      </c>
      <c r="D10" s="85">
        <f>D4*$B$10</f>
        <v>102.22196666666667</v>
      </c>
      <c r="E10" s="86">
        <f>E4*$B$10</f>
        <v>106.66640000000001</v>
      </c>
      <c r="F10" s="77">
        <f>F4*$B$10</f>
        <v>48.88876666666667</v>
      </c>
      <c r="G10" s="6"/>
    </row>
    <row r="11" spans="1:6" ht="12.75">
      <c r="A11" s="84" t="s">
        <v>157</v>
      </c>
      <c r="B11" s="37">
        <v>0.085</v>
      </c>
      <c r="C11" s="36">
        <f>C4*$B$11</f>
        <v>178.5</v>
      </c>
      <c r="D11" s="85">
        <f>D4*$B$11</f>
        <v>195.5</v>
      </c>
      <c r="E11" s="86">
        <f>E4*$B$11</f>
        <v>204.00000000000003</v>
      </c>
      <c r="F11" s="77">
        <f>F4*$B$11</f>
        <v>93.5</v>
      </c>
    </row>
    <row r="12" spans="1:7" ht="13.5" thickBot="1">
      <c r="A12" s="120" t="s">
        <v>158</v>
      </c>
      <c r="B12" s="114">
        <f>SUM(B5:B11)</f>
        <v>0.7634405333333332</v>
      </c>
      <c r="C12" s="115">
        <f>SUM(C5:C11)</f>
        <v>1520.15892</v>
      </c>
      <c r="D12" s="116">
        <f>SUM(D5:D11)</f>
        <v>1664.93596</v>
      </c>
      <c r="E12" s="117">
        <f>SUM(E5:E11)</f>
        <v>1737.3244799999998</v>
      </c>
      <c r="F12" s="118">
        <f>SUM(F5:F11)</f>
        <v>796.2737199999999</v>
      </c>
      <c r="G12" s="6"/>
    </row>
    <row r="13" spans="1:6" ht="13.5" thickTop="1">
      <c r="A13" s="119" t="s">
        <v>10</v>
      </c>
      <c r="B13" s="109"/>
      <c r="C13" s="110">
        <f>SUM(C4+C12)</f>
        <v>3620.15892</v>
      </c>
      <c r="D13" s="111">
        <f>SUM(D4+D12)</f>
        <v>3964.93596</v>
      </c>
      <c r="E13" s="112">
        <f>SUM(E4+E12)</f>
        <v>4137.324479999999</v>
      </c>
      <c r="F13" s="113">
        <f>SUM(F4+F12)</f>
        <v>1896.27372</v>
      </c>
    </row>
    <row r="14" spans="1:6" ht="12.75">
      <c r="A14" s="25" t="s">
        <v>11</v>
      </c>
      <c r="B14" s="26">
        <f>C13+D13+E13</f>
        <v>11722.41936</v>
      </c>
      <c r="C14" s="87">
        <f>C13/$B$14</f>
        <v>0.3088235294117647</v>
      </c>
      <c r="D14" s="88">
        <f>D13/$B$14</f>
        <v>0.338235294117647</v>
      </c>
      <c r="E14" s="89">
        <f>E13/B14</f>
        <v>0.3529411764705882</v>
      </c>
      <c r="F14" s="77"/>
    </row>
    <row r="15" spans="1:6" ht="12.75">
      <c r="A15" s="50"/>
      <c r="B15" s="50"/>
      <c r="C15" s="50"/>
      <c r="D15" s="50"/>
      <c r="E15" s="50"/>
      <c r="F15" s="50"/>
    </row>
    <row r="16" spans="1:6" ht="12.75">
      <c r="A16" s="46" t="s">
        <v>151</v>
      </c>
      <c r="B16" s="46"/>
      <c r="C16" s="46"/>
      <c r="D16" s="2"/>
      <c r="E16" s="2"/>
      <c r="F16" s="2"/>
    </row>
    <row r="17" spans="1:6" ht="12.75">
      <c r="A17" s="25" t="s">
        <v>12</v>
      </c>
      <c r="B17" s="26">
        <v>500</v>
      </c>
      <c r="D17" s="2"/>
      <c r="E17" s="2"/>
      <c r="F17" s="2"/>
    </row>
    <row r="18" spans="1:6" ht="12.75">
      <c r="A18" s="25" t="s">
        <v>13</v>
      </c>
      <c r="B18" s="26">
        <v>1200</v>
      </c>
      <c r="D18" s="2"/>
      <c r="E18" s="2"/>
      <c r="F18" s="2"/>
    </row>
    <row r="19" spans="1:6" ht="12.75">
      <c r="A19" s="25" t="s">
        <v>14</v>
      </c>
      <c r="B19" s="26">
        <v>600</v>
      </c>
      <c r="D19" s="2"/>
      <c r="E19" s="2"/>
      <c r="F19" s="2"/>
    </row>
    <row r="20" spans="1:6" ht="12.75">
      <c r="A20" s="25" t="s">
        <v>15</v>
      </c>
      <c r="B20" s="26">
        <v>450</v>
      </c>
      <c r="D20" s="2"/>
      <c r="E20" s="2"/>
      <c r="F20" s="2"/>
    </row>
    <row r="21" spans="1:6" ht="12.75">
      <c r="A21" s="25" t="s">
        <v>16</v>
      </c>
      <c r="B21" s="26">
        <v>400</v>
      </c>
      <c r="D21" s="2"/>
      <c r="E21" s="2"/>
      <c r="F21" s="2"/>
    </row>
    <row r="22" spans="1:6" ht="12.75">
      <c r="A22" s="25" t="s">
        <v>17</v>
      </c>
      <c r="B22" s="26">
        <v>250</v>
      </c>
      <c r="D22" s="2"/>
      <c r="E22" s="2"/>
      <c r="F22" s="2"/>
    </row>
    <row r="23" spans="1:6" ht="12.75">
      <c r="A23" s="25" t="s">
        <v>18</v>
      </c>
      <c r="B23" s="26">
        <v>750</v>
      </c>
      <c r="D23" s="2"/>
      <c r="E23" s="2"/>
      <c r="F23" s="2"/>
    </row>
    <row r="24" spans="1:6" ht="12.75">
      <c r="A24" s="25" t="s">
        <v>19</v>
      </c>
      <c r="B24" s="26">
        <v>500</v>
      </c>
      <c r="D24" s="2"/>
      <c r="E24" s="2"/>
      <c r="F24" s="2"/>
    </row>
    <row r="25" spans="1:6" ht="12.75">
      <c r="A25" s="25" t="s">
        <v>20</v>
      </c>
      <c r="B25" s="26">
        <v>5100</v>
      </c>
      <c r="D25" s="2"/>
      <c r="E25" s="44"/>
      <c r="F25" s="2"/>
    </row>
    <row r="26" spans="1:6" ht="12.75">
      <c r="A26" s="25" t="s">
        <v>159</v>
      </c>
      <c r="B26" s="26">
        <v>1000</v>
      </c>
      <c r="D26" s="2"/>
      <c r="E26" s="44"/>
      <c r="F26" s="2"/>
    </row>
    <row r="27" spans="1:6" ht="12.75">
      <c r="A27" s="25" t="s">
        <v>152</v>
      </c>
      <c r="B27" s="26">
        <v>400</v>
      </c>
      <c r="D27" s="2"/>
      <c r="E27" s="2"/>
      <c r="F27" s="2"/>
    </row>
    <row r="28" spans="1:6" ht="12.75">
      <c r="A28" s="49"/>
      <c r="B28" s="49"/>
      <c r="D28" s="2"/>
      <c r="E28" s="2"/>
      <c r="F28" s="2"/>
    </row>
    <row r="29" spans="1:6" ht="12.75">
      <c r="A29" s="9" t="s">
        <v>21</v>
      </c>
      <c r="B29" s="10">
        <f>SUM(B17:B28)</f>
        <v>11150</v>
      </c>
      <c r="D29" s="2"/>
      <c r="E29" s="2"/>
      <c r="F29" s="2"/>
    </row>
    <row r="30" spans="1:6" ht="12.75">
      <c r="A30" s="49"/>
      <c r="B30" s="49"/>
      <c r="C30" s="49"/>
      <c r="D30" s="49"/>
      <c r="E30" s="49"/>
      <c r="F30" s="2"/>
    </row>
    <row r="31" spans="1:6" ht="12.75">
      <c r="A31" s="8" t="s">
        <v>22</v>
      </c>
      <c r="B31" s="8"/>
      <c r="C31" s="22" t="s">
        <v>23</v>
      </c>
      <c r="D31" s="20" t="s">
        <v>24</v>
      </c>
      <c r="E31" s="22" t="s">
        <v>25</v>
      </c>
      <c r="F31" s="2"/>
    </row>
    <row r="32" spans="1:6" ht="12.75">
      <c r="A32" t="s">
        <v>26</v>
      </c>
      <c r="C32" s="12">
        <f>C13</f>
        <v>3620.15892</v>
      </c>
      <c r="D32" s="14">
        <f>D13</f>
        <v>3964.93596</v>
      </c>
      <c r="E32" s="12">
        <f>E13</f>
        <v>4137.324479999999</v>
      </c>
      <c r="F32" s="2"/>
    </row>
    <row r="33" spans="1:6" ht="12.75">
      <c r="A33" t="s">
        <v>27</v>
      </c>
      <c r="C33" s="12">
        <f>F13*C14</f>
        <v>585.6139429411764</v>
      </c>
      <c r="D33" s="14">
        <f>F13*D14</f>
        <v>641.3866994117647</v>
      </c>
      <c r="E33" s="12">
        <f>F13*E14</f>
        <v>669.2730776470587</v>
      </c>
      <c r="F33" s="2"/>
    </row>
    <row r="34" spans="1:6" ht="12.75">
      <c r="A34" t="s">
        <v>28</v>
      </c>
      <c r="C34" s="12">
        <f>B29*C14</f>
        <v>3443.3823529411766</v>
      </c>
      <c r="D34" s="14">
        <f>B29*D14</f>
        <v>3771.3235294117644</v>
      </c>
      <c r="E34" s="12">
        <f>B29*E14</f>
        <v>3935.2941176470586</v>
      </c>
      <c r="F34" s="2"/>
    </row>
    <row r="35" spans="1:6" ht="13.5" thickBot="1">
      <c r="A35" s="51"/>
      <c r="B35" s="51"/>
      <c r="C35" s="51"/>
      <c r="D35" s="51"/>
      <c r="E35" s="51"/>
      <c r="F35" s="2"/>
    </row>
    <row r="36" spans="1:6" ht="13.5" thickBot="1">
      <c r="A36" s="16" t="s">
        <v>29</v>
      </c>
      <c r="B36" s="17"/>
      <c r="C36" s="23">
        <f>SUM(C32:C35)</f>
        <v>7649.155215882352</v>
      </c>
      <c r="D36" s="21">
        <f>SUM(D32:D35)</f>
        <v>8377.646188823528</v>
      </c>
      <c r="E36" s="24">
        <f>SUM(E32:E35)</f>
        <v>8741.891675294117</v>
      </c>
      <c r="F36" s="2"/>
    </row>
    <row r="37" spans="1:6" ht="13.5" thickBot="1">
      <c r="A37" s="18" t="s">
        <v>30</v>
      </c>
      <c r="B37" s="19">
        <f>C36+D36+E36</f>
        <v>24768.693079999997</v>
      </c>
      <c r="C37" s="47"/>
      <c r="D37" s="48"/>
      <c r="E37" s="48"/>
      <c r="F37" s="2"/>
    </row>
    <row r="38" spans="1:6" ht="13.5" thickBot="1">
      <c r="A38" s="16" t="s">
        <v>31</v>
      </c>
      <c r="B38" s="17"/>
      <c r="C38" s="23">
        <f>C36/Clientes!F39</f>
        <v>2.3341944509863755</v>
      </c>
      <c r="D38" s="21">
        <f>D36/Clientes!G39</f>
        <v>1.562993691944688</v>
      </c>
      <c r="E38" s="24">
        <f>E36/Clientes!H39</f>
        <v>31.221041697478988</v>
      </c>
      <c r="F38" s="2"/>
    </row>
    <row r="39" spans="3:6" ht="12.75">
      <c r="C39" s="2"/>
      <c r="D39" s="2"/>
      <c r="E39" s="2"/>
      <c r="F39" s="2"/>
    </row>
  </sheetData>
  <printOptions/>
  <pageMargins left="0.75" right="0.75" top="1" bottom="1" header="0.492125985" footer="0.492125985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5" customWidth="1"/>
    <col min="2" max="2" width="37.140625" style="0" customWidth="1"/>
    <col min="3" max="3" width="11.57421875" style="96" customWidth="1"/>
    <col min="4" max="4" width="9.7109375" style="96" customWidth="1"/>
    <col min="5" max="5" width="9.28125" style="96" customWidth="1"/>
    <col min="6" max="6" width="9.140625" style="96" customWidth="1"/>
    <col min="7" max="7" width="10.140625" style="96" customWidth="1"/>
    <col min="8" max="8" width="12.7109375" style="96" customWidth="1"/>
    <col min="9" max="10" width="10.8515625" style="0" customWidth="1"/>
    <col min="11" max="13" width="11.57421875" style="0" customWidth="1"/>
    <col min="14" max="14" width="11.7109375" style="0" customWidth="1"/>
    <col min="15" max="15" width="11.28125" style="0" customWidth="1"/>
  </cols>
  <sheetData>
    <row r="1" spans="1:8" ht="12.75">
      <c r="A1" s="8" t="s">
        <v>32</v>
      </c>
      <c r="B1" s="7" t="s">
        <v>33</v>
      </c>
      <c r="C1" s="92" t="s">
        <v>34</v>
      </c>
      <c r="D1" s="92" t="s">
        <v>35</v>
      </c>
      <c r="E1" s="92" t="s">
        <v>36</v>
      </c>
      <c r="F1" s="92" t="s">
        <v>37</v>
      </c>
      <c r="G1" s="92" t="s">
        <v>38</v>
      </c>
      <c r="H1" s="101" t="s">
        <v>39</v>
      </c>
    </row>
    <row r="2" spans="1:16" ht="14.25">
      <c r="A2" s="27" t="s">
        <v>40</v>
      </c>
      <c r="B2" s="28" t="s">
        <v>41</v>
      </c>
      <c r="C2" s="93">
        <v>22</v>
      </c>
      <c r="D2" s="94">
        <v>271</v>
      </c>
      <c r="E2" s="94"/>
      <c r="F2" s="94">
        <f>SUM(C2:E2)</f>
        <v>293</v>
      </c>
      <c r="G2" s="94">
        <v>350</v>
      </c>
      <c r="H2" s="94">
        <v>26</v>
      </c>
      <c r="I2" s="2"/>
      <c r="J2" s="2"/>
      <c r="K2" s="2"/>
      <c r="L2" s="2"/>
      <c r="M2" s="2"/>
      <c r="N2" s="2"/>
      <c r="O2" s="2"/>
      <c r="P2" s="2"/>
    </row>
    <row r="3" spans="1:16" ht="14.25">
      <c r="A3" s="27" t="s">
        <v>42</v>
      </c>
      <c r="B3" s="28" t="s">
        <v>43</v>
      </c>
      <c r="C3" s="93"/>
      <c r="D3" s="94"/>
      <c r="E3" s="94">
        <v>10</v>
      </c>
      <c r="F3" s="94">
        <f aca="true" t="shared" si="0" ref="F3:F37">SUM(C3:E3)</f>
        <v>10</v>
      </c>
      <c r="G3" s="94">
        <v>20</v>
      </c>
      <c r="H3" s="94">
        <v>1</v>
      </c>
      <c r="I3" s="2"/>
      <c r="J3" s="2"/>
      <c r="K3" s="2"/>
      <c r="L3" s="2"/>
      <c r="M3" s="2"/>
      <c r="N3" s="2"/>
      <c r="O3" s="2"/>
      <c r="P3" s="2"/>
    </row>
    <row r="4" spans="1:16" ht="14.25">
      <c r="A4" s="27" t="s">
        <v>44</v>
      </c>
      <c r="B4" s="28" t="s">
        <v>45</v>
      </c>
      <c r="C4" s="93">
        <v>34</v>
      </c>
      <c r="D4" s="94">
        <v>203</v>
      </c>
      <c r="E4" s="94">
        <v>3</v>
      </c>
      <c r="F4" s="94">
        <f t="shared" si="0"/>
        <v>240</v>
      </c>
      <c r="G4" s="94">
        <v>300</v>
      </c>
      <c r="H4" s="94">
        <v>4</v>
      </c>
      <c r="I4" s="2"/>
      <c r="J4" s="2"/>
      <c r="K4" s="2"/>
      <c r="L4" s="2"/>
      <c r="M4" s="2"/>
      <c r="N4" s="2"/>
      <c r="O4" s="2"/>
      <c r="P4" s="2"/>
    </row>
    <row r="5" spans="1:16" ht="14.25">
      <c r="A5" s="27" t="s">
        <v>46</v>
      </c>
      <c r="B5" s="28" t="s">
        <v>47</v>
      </c>
      <c r="C5" s="93"/>
      <c r="D5" s="94"/>
      <c r="E5" s="94">
        <v>28</v>
      </c>
      <c r="F5" s="94">
        <f t="shared" si="0"/>
        <v>28</v>
      </c>
      <c r="G5" s="94">
        <v>200</v>
      </c>
      <c r="H5" s="94">
        <v>51</v>
      </c>
      <c r="I5" s="2"/>
      <c r="J5" s="2"/>
      <c r="K5" s="2"/>
      <c r="L5" s="2"/>
      <c r="M5" s="2"/>
      <c r="N5" s="2"/>
      <c r="O5" s="2"/>
      <c r="P5" s="2"/>
    </row>
    <row r="6" spans="1:16" ht="14.25">
      <c r="A6" s="27" t="s">
        <v>48</v>
      </c>
      <c r="B6" s="28" t="s">
        <v>49</v>
      </c>
      <c r="C6" s="93">
        <v>3</v>
      </c>
      <c r="D6" s="94">
        <v>50</v>
      </c>
      <c r="E6" s="94">
        <v>26</v>
      </c>
      <c r="F6" s="94">
        <f t="shared" si="0"/>
        <v>79</v>
      </c>
      <c r="G6" s="94">
        <v>80</v>
      </c>
      <c r="H6" s="94">
        <v>5</v>
      </c>
      <c r="I6" s="2"/>
      <c r="J6" s="2"/>
      <c r="K6" s="2"/>
      <c r="L6" s="2"/>
      <c r="M6" s="2"/>
      <c r="N6" s="2"/>
      <c r="O6" s="2"/>
      <c r="P6" s="2"/>
    </row>
    <row r="7" spans="1:16" ht="14.25">
      <c r="A7" s="27" t="s">
        <v>50</v>
      </c>
      <c r="B7" s="28" t="s">
        <v>51</v>
      </c>
      <c r="C7" s="93">
        <v>46</v>
      </c>
      <c r="D7" s="94">
        <v>36</v>
      </c>
      <c r="E7" s="94"/>
      <c r="F7" s="94">
        <f t="shared" si="0"/>
        <v>82</v>
      </c>
      <c r="G7" s="94">
        <v>150</v>
      </c>
      <c r="H7" s="94">
        <v>3</v>
      </c>
      <c r="I7" s="2"/>
      <c r="J7" s="2"/>
      <c r="K7" s="2"/>
      <c r="L7" s="2"/>
      <c r="M7" s="2"/>
      <c r="N7" s="2"/>
      <c r="O7" s="2"/>
      <c r="P7" s="2"/>
    </row>
    <row r="8" spans="1:16" ht="14.25">
      <c r="A8" s="27" t="s">
        <v>52</v>
      </c>
      <c r="B8" s="28" t="s">
        <v>53</v>
      </c>
      <c r="C8" s="93">
        <v>7</v>
      </c>
      <c r="D8" s="94">
        <v>23</v>
      </c>
      <c r="E8" s="94"/>
      <c r="F8" s="94">
        <f t="shared" si="0"/>
        <v>30</v>
      </c>
      <c r="G8" s="94">
        <v>50</v>
      </c>
      <c r="H8" s="94">
        <v>2</v>
      </c>
      <c r="I8" s="2"/>
      <c r="J8" s="2"/>
      <c r="K8" s="2"/>
      <c r="L8" s="2"/>
      <c r="M8" s="2"/>
      <c r="N8" s="2"/>
      <c r="O8" s="2"/>
      <c r="P8" s="2"/>
    </row>
    <row r="9" spans="1:16" ht="14.25">
      <c r="A9" s="27" t="s">
        <v>54</v>
      </c>
      <c r="B9" s="28" t="s">
        <v>55</v>
      </c>
      <c r="C9" s="93">
        <v>180</v>
      </c>
      <c r="D9" s="94">
        <v>171</v>
      </c>
      <c r="E9" s="94"/>
      <c r="F9" s="94">
        <f t="shared" si="0"/>
        <v>351</v>
      </c>
      <c r="G9" s="94">
        <v>430</v>
      </c>
      <c r="H9" s="94">
        <v>9</v>
      </c>
      <c r="I9" s="2"/>
      <c r="J9" s="2"/>
      <c r="K9" s="2"/>
      <c r="L9" s="2"/>
      <c r="M9" s="2"/>
      <c r="N9" s="2"/>
      <c r="O9" s="2"/>
      <c r="P9" s="2"/>
    </row>
    <row r="10" spans="1:16" ht="14.25">
      <c r="A10" s="27" t="s">
        <v>56</v>
      </c>
      <c r="B10" s="28" t="s">
        <v>57</v>
      </c>
      <c r="C10" s="93">
        <v>162</v>
      </c>
      <c r="D10" s="94">
        <v>124</v>
      </c>
      <c r="E10" s="94"/>
      <c r="F10" s="94">
        <f t="shared" si="0"/>
        <v>286</v>
      </c>
      <c r="G10" s="94">
        <v>520</v>
      </c>
      <c r="H10" s="94">
        <v>7</v>
      </c>
      <c r="I10" s="2"/>
      <c r="J10" s="2"/>
      <c r="K10" s="2"/>
      <c r="L10" s="2"/>
      <c r="M10" s="2"/>
      <c r="N10" s="2"/>
      <c r="O10" s="2"/>
      <c r="P10" s="2"/>
    </row>
    <row r="11" spans="1:16" ht="14.25">
      <c r="A11" s="27" t="s">
        <v>58</v>
      </c>
      <c r="B11" s="28" t="s">
        <v>59</v>
      </c>
      <c r="C11" s="93">
        <v>26</v>
      </c>
      <c r="D11" s="94">
        <v>35</v>
      </c>
      <c r="E11" s="94">
        <v>28</v>
      </c>
      <c r="F11" s="94">
        <f t="shared" si="0"/>
        <v>89</v>
      </c>
      <c r="G11" s="94">
        <v>100</v>
      </c>
      <c r="H11" s="94">
        <v>8</v>
      </c>
      <c r="I11" s="2"/>
      <c r="J11" s="2"/>
      <c r="K11" s="2"/>
      <c r="L11" s="2"/>
      <c r="M11" s="2"/>
      <c r="N11" s="2"/>
      <c r="O11" s="2"/>
      <c r="P11" s="2"/>
    </row>
    <row r="12" spans="1:16" ht="14.25">
      <c r="A12" s="27" t="s">
        <v>60</v>
      </c>
      <c r="B12" s="28" t="s">
        <v>61</v>
      </c>
      <c r="C12" s="93">
        <v>14</v>
      </c>
      <c r="D12" s="94">
        <v>32</v>
      </c>
      <c r="E12" s="94">
        <v>48</v>
      </c>
      <c r="F12" s="94">
        <f t="shared" si="0"/>
        <v>94</v>
      </c>
      <c r="G12" s="94">
        <v>100</v>
      </c>
      <c r="H12" s="94">
        <v>7</v>
      </c>
      <c r="I12" s="2"/>
      <c r="J12" s="2"/>
      <c r="K12" s="2"/>
      <c r="L12" s="2"/>
      <c r="M12" s="2"/>
      <c r="N12" s="2"/>
      <c r="O12" s="2"/>
      <c r="P12" s="2"/>
    </row>
    <row r="13" spans="1:16" ht="14.25">
      <c r="A13" s="27" t="s">
        <v>62</v>
      </c>
      <c r="B13" s="28" t="s">
        <v>63</v>
      </c>
      <c r="C13" s="93">
        <v>5</v>
      </c>
      <c r="D13" s="94">
        <v>3</v>
      </c>
      <c r="E13" s="94">
        <v>4</v>
      </c>
      <c r="F13" s="94">
        <f t="shared" si="0"/>
        <v>12</v>
      </c>
      <c r="G13" s="94">
        <v>40</v>
      </c>
      <c r="H13" s="94">
        <v>5</v>
      </c>
      <c r="I13" s="2"/>
      <c r="J13" s="2"/>
      <c r="K13" s="2"/>
      <c r="L13" s="2"/>
      <c r="M13" s="2"/>
      <c r="N13" s="2"/>
      <c r="O13" s="2"/>
      <c r="P13" s="2"/>
    </row>
    <row r="14" spans="1:16" ht="14.25">
      <c r="A14" s="27" t="s">
        <v>64</v>
      </c>
      <c r="B14" s="28" t="s">
        <v>65</v>
      </c>
      <c r="C14" s="93">
        <v>4</v>
      </c>
      <c r="D14" s="94">
        <v>27</v>
      </c>
      <c r="E14" s="94"/>
      <c r="F14" s="94">
        <f t="shared" si="0"/>
        <v>31</v>
      </c>
      <c r="G14" s="94">
        <v>70</v>
      </c>
      <c r="H14" s="94">
        <v>2</v>
      </c>
      <c r="I14" s="2"/>
      <c r="J14" s="2"/>
      <c r="K14" s="2"/>
      <c r="L14" s="2"/>
      <c r="M14" s="2"/>
      <c r="N14" s="2"/>
      <c r="O14" s="2"/>
      <c r="P14" s="2"/>
    </row>
    <row r="15" spans="1:16" ht="14.25">
      <c r="A15" s="27" t="s">
        <v>66</v>
      </c>
      <c r="B15" s="28" t="s">
        <v>67</v>
      </c>
      <c r="C15" s="93">
        <v>31</v>
      </c>
      <c r="D15" s="94">
        <v>121</v>
      </c>
      <c r="E15" s="94">
        <v>64</v>
      </c>
      <c r="F15" s="94">
        <f t="shared" si="0"/>
        <v>216</v>
      </c>
      <c r="G15" s="94">
        <v>250</v>
      </c>
      <c r="H15" s="94">
        <v>8</v>
      </c>
      <c r="I15" s="2"/>
      <c r="J15" s="2"/>
      <c r="K15" s="2"/>
      <c r="L15" s="2"/>
      <c r="M15" s="2"/>
      <c r="N15" s="2"/>
      <c r="O15" s="2"/>
      <c r="P15" s="2"/>
    </row>
    <row r="16" spans="1:16" ht="14.25">
      <c r="A16" s="27" t="s">
        <v>68</v>
      </c>
      <c r="B16" s="28" t="s">
        <v>69</v>
      </c>
      <c r="C16" s="93">
        <v>13</v>
      </c>
      <c r="D16" s="94">
        <v>11</v>
      </c>
      <c r="E16" s="94">
        <v>12</v>
      </c>
      <c r="F16" s="94">
        <f t="shared" si="0"/>
        <v>36</v>
      </c>
      <c r="G16" s="94">
        <v>80</v>
      </c>
      <c r="H16" s="94">
        <v>3</v>
      </c>
      <c r="I16" s="2"/>
      <c r="J16" s="2"/>
      <c r="K16" s="2"/>
      <c r="L16" s="2"/>
      <c r="M16" s="2"/>
      <c r="N16" s="2"/>
      <c r="O16" s="2"/>
      <c r="P16" s="2"/>
    </row>
    <row r="17" spans="1:16" ht="14.25">
      <c r="A17" s="27" t="s">
        <v>70</v>
      </c>
      <c r="B17" s="28" t="s">
        <v>71</v>
      </c>
      <c r="C17" s="93">
        <v>25</v>
      </c>
      <c r="D17" s="94">
        <v>36</v>
      </c>
      <c r="E17" s="94"/>
      <c r="F17" s="94">
        <f t="shared" si="0"/>
        <v>61</v>
      </c>
      <c r="G17" s="94">
        <v>80</v>
      </c>
      <c r="H17" s="94">
        <v>4</v>
      </c>
      <c r="I17" s="2"/>
      <c r="J17" s="2"/>
      <c r="K17" s="2"/>
      <c r="L17" s="2"/>
      <c r="M17" s="2"/>
      <c r="N17" s="2"/>
      <c r="O17" s="2"/>
      <c r="P17" s="2"/>
    </row>
    <row r="18" spans="1:16" ht="14.25">
      <c r="A18" s="27" t="s">
        <v>72</v>
      </c>
      <c r="B18" s="28" t="s">
        <v>73</v>
      </c>
      <c r="C18" s="93">
        <v>29</v>
      </c>
      <c r="D18" s="94">
        <v>10</v>
      </c>
      <c r="E18" s="94"/>
      <c r="F18" s="94">
        <f t="shared" si="0"/>
        <v>39</v>
      </c>
      <c r="G18" s="94">
        <v>70</v>
      </c>
      <c r="H18" s="94">
        <v>5</v>
      </c>
      <c r="I18" s="2"/>
      <c r="J18" s="2"/>
      <c r="K18" s="2"/>
      <c r="L18" s="2"/>
      <c r="M18" s="2"/>
      <c r="N18" s="2"/>
      <c r="O18" s="2"/>
      <c r="P18" s="2"/>
    </row>
    <row r="19" spans="1:16" ht="14.25">
      <c r="A19" s="27" t="s">
        <v>74</v>
      </c>
      <c r="B19" s="28" t="s">
        <v>75</v>
      </c>
      <c r="C19" s="93"/>
      <c r="D19" s="94">
        <v>20</v>
      </c>
      <c r="E19" s="94">
        <v>1</v>
      </c>
      <c r="F19" s="94">
        <f t="shared" si="0"/>
        <v>21</v>
      </c>
      <c r="G19" s="94">
        <v>20</v>
      </c>
      <c r="H19" s="94">
        <v>6</v>
      </c>
      <c r="I19" s="2"/>
      <c r="J19" s="2"/>
      <c r="K19" s="2"/>
      <c r="L19" s="2"/>
      <c r="M19" s="2"/>
      <c r="N19" s="2"/>
      <c r="O19" s="2"/>
      <c r="P19" s="2"/>
    </row>
    <row r="20" spans="1:16" ht="14.25">
      <c r="A20" s="27" t="s">
        <v>76</v>
      </c>
      <c r="B20" s="28" t="s">
        <v>77</v>
      </c>
      <c r="C20" s="93"/>
      <c r="D20" s="94">
        <v>5</v>
      </c>
      <c r="E20" s="94">
        <v>5</v>
      </c>
      <c r="F20" s="94">
        <f t="shared" si="0"/>
        <v>10</v>
      </c>
      <c r="G20" s="94">
        <v>40</v>
      </c>
      <c r="H20" s="94">
        <v>3</v>
      </c>
      <c r="I20" s="2"/>
      <c r="J20" s="2"/>
      <c r="K20" s="2"/>
      <c r="L20" s="2"/>
      <c r="M20" s="2"/>
      <c r="N20" s="2"/>
      <c r="O20" s="2"/>
      <c r="P20" s="2"/>
    </row>
    <row r="21" spans="1:16" ht="14.25">
      <c r="A21" s="27" t="s">
        <v>78</v>
      </c>
      <c r="B21" s="28" t="s">
        <v>79</v>
      </c>
      <c r="C21" s="93">
        <v>14</v>
      </c>
      <c r="D21" s="94">
        <v>62</v>
      </c>
      <c r="E21" s="94">
        <v>32</v>
      </c>
      <c r="F21" s="94">
        <f t="shared" si="0"/>
        <v>108</v>
      </c>
      <c r="G21" s="94">
        <v>200</v>
      </c>
      <c r="H21" s="94">
        <v>8</v>
      </c>
      <c r="I21" s="2"/>
      <c r="J21" s="2"/>
      <c r="K21" s="2"/>
      <c r="L21" s="2"/>
      <c r="M21" s="2"/>
      <c r="N21" s="2"/>
      <c r="O21" s="2"/>
      <c r="P21" s="2"/>
    </row>
    <row r="22" spans="1:16" ht="14.25">
      <c r="A22" s="27" t="s">
        <v>80</v>
      </c>
      <c r="B22" s="28" t="s">
        <v>81</v>
      </c>
      <c r="C22" s="93">
        <v>85</v>
      </c>
      <c r="D22" s="94">
        <v>80</v>
      </c>
      <c r="E22" s="94"/>
      <c r="F22" s="94">
        <f t="shared" si="0"/>
        <v>165</v>
      </c>
      <c r="G22" s="94">
        <v>200</v>
      </c>
      <c r="H22" s="94">
        <v>21</v>
      </c>
      <c r="I22" s="2"/>
      <c r="J22" s="2"/>
      <c r="K22" s="2"/>
      <c r="L22" s="2"/>
      <c r="M22" s="2"/>
      <c r="N22" s="2"/>
      <c r="O22" s="2"/>
      <c r="P22" s="2"/>
    </row>
    <row r="23" spans="1:16" ht="14.25">
      <c r="A23" s="27" t="s">
        <v>82</v>
      </c>
      <c r="B23" s="28" t="s">
        <v>83</v>
      </c>
      <c r="C23" s="93"/>
      <c r="D23" s="94">
        <v>5</v>
      </c>
      <c r="E23" s="94"/>
      <c r="F23" s="94">
        <f t="shared" si="0"/>
        <v>5</v>
      </c>
      <c r="G23" s="94"/>
      <c r="H23" s="94">
        <v>2</v>
      </c>
      <c r="I23" s="2"/>
      <c r="J23" s="2"/>
      <c r="K23" s="2"/>
      <c r="L23" s="2"/>
      <c r="M23" s="2"/>
      <c r="N23" s="2"/>
      <c r="O23" s="2"/>
      <c r="P23" s="2"/>
    </row>
    <row r="24" spans="1:16" ht="14.25">
      <c r="A24" s="27" t="s">
        <v>84</v>
      </c>
      <c r="B24" s="28" t="s">
        <v>85</v>
      </c>
      <c r="C24" s="93">
        <v>36</v>
      </c>
      <c r="D24" s="94">
        <v>209</v>
      </c>
      <c r="E24" s="94">
        <v>61</v>
      </c>
      <c r="F24" s="94">
        <f t="shared" si="0"/>
        <v>306</v>
      </c>
      <c r="G24" s="94">
        <v>350</v>
      </c>
      <c r="H24" s="94">
        <v>8</v>
      </c>
      <c r="I24" s="2"/>
      <c r="J24" s="2"/>
      <c r="K24" s="2"/>
      <c r="L24" s="2"/>
      <c r="M24" s="2"/>
      <c r="N24" s="2"/>
      <c r="O24" s="2"/>
      <c r="P24" s="2"/>
    </row>
    <row r="25" spans="1:16" ht="14.25">
      <c r="A25" s="27" t="s">
        <v>86</v>
      </c>
      <c r="B25" s="28" t="s">
        <v>87</v>
      </c>
      <c r="C25" s="93">
        <v>10</v>
      </c>
      <c r="D25" s="94"/>
      <c r="E25" s="94"/>
      <c r="F25" s="94">
        <f t="shared" si="0"/>
        <v>10</v>
      </c>
      <c r="G25" s="94"/>
      <c r="H25" s="94">
        <v>3</v>
      </c>
      <c r="I25" s="2"/>
      <c r="J25" s="2"/>
      <c r="K25" s="2"/>
      <c r="L25" s="2"/>
      <c r="M25" s="2"/>
      <c r="N25" s="2"/>
      <c r="O25" s="2"/>
      <c r="P25" s="2"/>
    </row>
    <row r="26" spans="1:16" ht="14.25">
      <c r="A26" s="27" t="s">
        <v>88</v>
      </c>
      <c r="B26" s="28" t="s">
        <v>89</v>
      </c>
      <c r="C26" s="93">
        <v>4</v>
      </c>
      <c r="D26" s="94">
        <v>26</v>
      </c>
      <c r="E26" s="94">
        <v>8</v>
      </c>
      <c r="F26" s="94">
        <f t="shared" si="0"/>
        <v>38</v>
      </c>
      <c r="G26" s="94">
        <v>70</v>
      </c>
      <c r="H26" s="94">
        <v>10</v>
      </c>
      <c r="I26" s="2"/>
      <c r="J26" s="2"/>
      <c r="K26" s="2"/>
      <c r="L26" s="2"/>
      <c r="M26" s="2"/>
      <c r="N26" s="2"/>
      <c r="O26" s="2"/>
      <c r="P26" s="2"/>
    </row>
    <row r="27" spans="1:16" ht="14.25">
      <c r="A27" s="27" t="s">
        <v>90</v>
      </c>
      <c r="B27" s="28" t="s">
        <v>91</v>
      </c>
      <c r="C27" s="93"/>
      <c r="D27" s="94"/>
      <c r="E27" s="94"/>
      <c r="F27" s="94">
        <f t="shared" si="0"/>
        <v>0</v>
      </c>
      <c r="G27" s="94">
        <v>320</v>
      </c>
      <c r="H27" s="94">
        <v>8</v>
      </c>
      <c r="I27" s="2"/>
      <c r="J27" s="2"/>
      <c r="K27" s="2"/>
      <c r="L27" s="2"/>
      <c r="M27" s="2"/>
      <c r="N27" s="2"/>
      <c r="O27" s="2"/>
      <c r="P27" s="2"/>
    </row>
    <row r="28" spans="1:16" ht="14.25">
      <c r="A28" s="27" t="s">
        <v>92</v>
      </c>
      <c r="B28" s="28" t="s">
        <v>93</v>
      </c>
      <c r="C28" s="93">
        <v>11</v>
      </c>
      <c r="D28" s="94">
        <v>64</v>
      </c>
      <c r="E28" s="94"/>
      <c r="F28" s="94">
        <f t="shared" si="0"/>
        <v>75</v>
      </c>
      <c r="G28" s="94">
        <v>120</v>
      </c>
      <c r="H28" s="94">
        <v>8</v>
      </c>
      <c r="I28" s="2"/>
      <c r="J28" s="2"/>
      <c r="K28" s="2"/>
      <c r="L28" s="2"/>
      <c r="M28" s="2"/>
      <c r="N28" s="2"/>
      <c r="O28" s="2"/>
      <c r="P28" s="2"/>
    </row>
    <row r="29" spans="1:16" ht="14.25">
      <c r="A29" s="27" t="s">
        <v>94</v>
      </c>
      <c r="B29" s="28" t="s">
        <v>95</v>
      </c>
      <c r="C29" s="93">
        <v>4</v>
      </c>
      <c r="D29" s="94"/>
      <c r="E29" s="94">
        <v>9</v>
      </c>
      <c r="F29" s="94">
        <f t="shared" si="0"/>
        <v>13</v>
      </c>
      <c r="G29" s="94">
        <v>120</v>
      </c>
      <c r="H29" s="94">
        <v>12</v>
      </c>
      <c r="I29" s="2"/>
      <c r="J29" s="2"/>
      <c r="K29" s="2"/>
      <c r="L29" s="2"/>
      <c r="M29" s="2"/>
      <c r="N29" s="2"/>
      <c r="O29" s="2"/>
      <c r="P29" s="2"/>
    </row>
    <row r="30" spans="1:16" ht="14.25">
      <c r="A30" s="27" t="s">
        <v>96</v>
      </c>
      <c r="B30" s="72" t="s">
        <v>97</v>
      </c>
      <c r="C30" s="93">
        <v>4</v>
      </c>
      <c r="D30" s="94"/>
      <c r="E30" s="94">
        <v>13</v>
      </c>
      <c r="F30" s="94">
        <f t="shared" si="0"/>
        <v>17</v>
      </c>
      <c r="G30" s="94">
        <v>80</v>
      </c>
      <c r="H30" s="94">
        <v>13</v>
      </c>
      <c r="I30" s="2"/>
      <c r="J30" s="2"/>
      <c r="K30" s="2"/>
      <c r="L30" s="2"/>
      <c r="M30" s="2"/>
      <c r="N30" s="2"/>
      <c r="O30" s="2"/>
      <c r="P30" s="2"/>
    </row>
    <row r="31" spans="1:16" ht="14.25">
      <c r="A31" s="27" t="s">
        <v>98</v>
      </c>
      <c r="B31" s="72" t="s">
        <v>99</v>
      </c>
      <c r="C31" s="93">
        <v>21</v>
      </c>
      <c r="D31" s="94">
        <v>68</v>
      </c>
      <c r="E31" s="94"/>
      <c r="F31" s="94">
        <f t="shared" si="0"/>
        <v>89</v>
      </c>
      <c r="G31" s="94">
        <v>100</v>
      </c>
      <c r="H31" s="94">
        <v>5</v>
      </c>
      <c r="I31" s="2"/>
      <c r="J31" s="2"/>
      <c r="K31" s="2"/>
      <c r="L31" s="2"/>
      <c r="M31" s="2"/>
      <c r="N31" s="2"/>
      <c r="O31" s="2"/>
      <c r="P31" s="2"/>
    </row>
    <row r="32" spans="1:16" ht="14.25">
      <c r="A32" s="27" t="s">
        <v>100</v>
      </c>
      <c r="B32" s="72" t="s">
        <v>101</v>
      </c>
      <c r="C32" s="93">
        <v>36</v>
      </c>
      <c r="D32" s="94">
        <v>111</v>
      </c>
      <c r="E32" s="94">
        <v>13</v>
      </c>
      <c r="F32" s="94">
        <f t="shared" si="0"/>
        <v>160</v>
      </c>
      <c r="G32" s="94">
        <v>300</v>
      </c>
      <c r="H32" s="94">
        <v>8</v>
      </c>
      <c r="I32" s="2"/>
      <c r="J32" s="2"/>
      <c r="K32" s="2"/>
      <c r="L32" s="2"/>
      <c r="M32" s="2"/>
      <c r="N32" s="2"/>
      <c r="O32" s="2"/>
      <c r="P32" s="2"/>
    </row>
    <row r="33" spans="1:16" ht="14.25">
      <c r="A33" s="27" t="s">
        <v>102</v>
      </c>
      <c r="B33" s="72" t="s">
        <v>103</v>
      </c>
      <c r="C33" s="93">
        <v>54</v>
      </c>
      <c r="D33" s="94">
        <v>78</v>
      </c>
      <c r="E33" s="94"/>
      <c r="F33" s="94">
        <f t="shared" si="0"/>
        <v>132</v>
      </c>
      <c r="G33" s="94">
        <v>300</v>
      </c>
      <c r="H33" s="94">
        <v>3</v>
      </c>
      <c r="I33" s="2"/>
      <c r="J33" s="2"/>
      <c r="K33" s="2"/>
      <c r="L33" s="2"/>
      <c r="M33" s="2"/>
      <c r="N33" s="2"/>
      <c r="O33" s="2"/>
      <c r="P33" s="2"/>
    </row>
    <row r="34" spans="1:16" ht="14.25">
      <c r="A34" s="27" t="s">
        <v>104</v>
      </c>
      <c r="B34" s="72" t="s">
        <v>105</v>
      </c>
      <c r="C34" s="93">
        <v>14</v>
      </c>
      <c r="D34" s="94">
        <v>8</v>
      </c>
      <c r="E34" s="94">
        <v>31</v>
      </c>
      <c r="F34" s="94">
        <f t="shared" si="0"/>
        <v>53</v>
      </c>
      <c r="G34" s="94">
        <v>70</v>
      </c>
      <c r="H34" s="94">
        <v>4</v>
      </c>
      <c r="I34" s="2"/>
      <c r="J34" s="2"/>
      <c r="K34" s="2"/>
      <c r="L34" s="2"/>
      <c r="M34" s="2"/>
      <c r="N34" s="2"/>
      <c r="O34" s="2"/>
      <c r="P34" s="2"/>
    </row>
    <row r="35" spans="1:16" ht="14.25">
      <c r="A35" s="27" t="s">
        <v>106</v>
      </c>
      <c r="B35" s="72" t="s">
        <v>107</v>
      </c>
      <c r="C35" s="93">
        <v>21</v>
      </c>
      <c r="D35" s="94">
        <v>18</v>
      </c>
      <c r="E35" s="94"/>
      <c r="F35" s="94">
        <f t="shared" si="0"/>
        <v>39</v>
      </c>
      <c r="G35" s="94">
        <v>50</v>
      </c>
      <c r="H35" s="94">
        <v>4</v>
      </c>
      <c r="I35" s="2"/>
      <c r="J35" s="2"/>
      <c r="K35" s="2"/>
      <c r="L35" s="2"/>
      <c r="M35" s="2"/>
      <c r="N35" s="2"/>
      <c r="O35" s="2"/>
      <c r="P35" s="2"/>
    </row>
    <row r="36" spans="1:16" ht="14.25">
      <c r="A36" s="27" t="s">
        <v>108</v>
      </c>
      <c r="B36" s="72" t="s">
        <v>109</v>
      </c>
      <c r="C36" s="93">
        <v>5</v>
      </c>
      <c r="D36" s="94">
        <v>24</v>
      </c>
      <c r="E36" s="94"/>
      <c r="F36" s="94">
        <f t="shared" si="0"/>
        <v>29</v>
      </c>
      <c r="G36" s="94">
        <v>80</v>
      </c>
      <c r="H36" s="94">
        <v>1</v>
      </c>
      <c r="I36" s="2"/>
      <c r="J36" s="2"/>
      <c r="K36" s="2"/>
      <c r="L36" s="2"/>
      <c r="M36" s="2"/>
      <c r="N36" s="2"/>
      <c r="O36" s="2"/>
      <c r="P36" s="2"/>
    </row>
    <row r="37" spans="1:16" ht="14.25">
      <c r="A37" s="27" t="s">
        <v>110</v>
      </c>
      <c r="B37" s="72" t="s">
        <v>111</v>
      </c>
      <c r="C37" s="93">
        <v>9</v>
      </c>
      <c r="D37" s="94">
        <v>10</v>
      </c>
      <c r="E37" s="94">
        <v>11</v>
      </c>
      <c r="F37" s="94">
        <f t="shared" si="0"/>
        <v>30</v>
      </c>
      <c r="G37" s="94">
        <v>50</v>
      </c>
      <c r="H37" s="94">
        <v>3</v>
      </c>
      <c r="I37" s="2"/>
      <c r="J37" s="2"/>
      <c r="K37" s="2"/>
      <c r="L37" s="2"/>
      <c r="M37" s="2"/>
      <c r="N37" s="2"/>
      <c r="O37" s="2"/>
      <c r="P37" s="2"/>
    </row>
    <row r="38" spans="1:16" ht="12.75">
      <c r="A38" s="106"/>
      <c r="B38" s="102"/>
      <c r="C38" s="103"/>
      <c r="D38" s="103"/>
      <c r="E38" s="103"/>
      <c r="F38" s="103"/>
      <c r="G38" s="103"/>
      <c r="H38" s="103"/>
      <c r="I38" s="2"/>
      <c r="J38" s="2"/>
      <c r="K38" s="2"/>
      <c r="L38" s="2"/>
      <c r="M38" s="2"/>
      <c r="N38" s="2"/>
      <c r="O38" s="2"/>
      <c r="P38" s="2"/>
    </row>
    <row r="39" spans="1:16" ht="15">
      <c r="A39" s="107" t="s">
        <v>112</v>
      </c>
      <c r="B39" s="104"/>
      <c r="C39" s="105">
        <f aca="true" t="shared" si="1" ref="C39:H39">SUM(C2:C37)</f>
        <v>929</v>
      </c>
      <c r="D39" s="105">
        <f t="shared" si="1"/>
        <v>1941</v>
      </c>
      <c r="E39" s="105">
        <f t="shared" si="1"/>
        <v>407</v>
      </c>
      <c r="F39" s="105">
        <f t="shared" si="1"/>
        <v>3277</v>
      </c>
      <c r="G39" s="105">
        <f t="shared" si="1"/>
        <v>5360</v>
      </c>
      <c r="H39" s="105">
        <f t="shared" si="1"/>
        <v>280</v>
      </c>
      <c r="I39" s="4"/>
      <c r="J39" s="4"/>
      <c r="K39" s="4"/>
      <c r="L39" s="4"/>
      <c r="M39" s="4"/>
      <c r="N39" s="4"/>
      <c r="O39" s="4"/>
      <c r="P39" s="2"/>
    </row>
    <row r="40" spans="3:12" ht="14.25">
      <c r="C40" s="95"/>
      <c r="L40" s="2"/>
    </row>
    <row r="41" spans="2:7" ht="14.25">
      <c r="B41" s="3"/>
      <c r="C41" s="97"/>
      <c r="D41" s="44"/>
      <c r="E41" s="44"/>
      <c r="F41" s="44"/>
      <c r="G41" s="44"/>
    </row>
    <row r="42" spans="2:7" ht="14.25">
      <c r="B42" s="3"/>
      <c r="C42" s="97"/>
      <c r="D42" s="44"/>
      <c r="E42" s="44"/>
      <c r="F42" s="44"/>
      <c r="G42" s="44"/>
    </row>
    <row r="43" spans="3:7" ht="12.75">
      <c r="C43" s="44"/>
      <c r="D43" s="44"/>
      <c r="E43" s="44"/>
      <c r="F43" s="44"/>
      <c r="G43" s="44"/>
    </row>
    <row r="45" spans="3:4" ht="12.75">
      <c r="C45" s="98"/>
      <c r="D45" s="99"/>
    </row>
    <row r="46" spans="3:4" ht="12.75">
      <c r="C46" s="98"/>
      <c r="D46" s="99"/>
    </row>
    <row r="47" spans="3:4" ht="12.75">
      <c r="C47" s="98"/>
      <c r="D47" s="99"/>
    </row>
    <row r="48" spans="3:4" ht="12.75">
      <c r="C48" s="98"/>
      <c r="D48" s="99"/>
    </row>
    <row r="49" spans="3:4" ht="12.75">
      <c r="C49" s="98"/>
      <c r="D49" s="99"/>
    </row>
    <row r="50" spans="3:4" ht="12.75">
      <c r="C50" s="98"/>
      <c r="D50" s="99"/>
    </row>
    <row r="51" spans="3:4" ht="12.75">
      <c r="C51" s="98"/>
      <c r="D51" s="99"/>
    </row>
    <row r="52" spans="3:4" ht="12.75">
      <c r="C52" s="98"/>
      <c r="D52" s="99"/>
    </row>
    <row r="54" ht="12.75">
      <c r="C54" s="100"/>
    </row>
  </sheetData>
  <printOptions horizontalCentered="1"/>
  <pageMargins left="0.7874015748031497" right="0.7874015748031497" top="0.7874015748031497" bottom="0.5905511811023623" header="0.5118110236220472" footer="0.5118110236220472"/>
  <pageSetup fitToHeight="3" horizontalDpi="300" verticalDpi="3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workbookViewId="0" topLeftCell="A1">
      <pane ySplit="1" topLeftCell="BM22" activePane="bottomLeft" state="frozen"/>
      <selection pane="topLeft" activeCell="A1" sqref="A1"/>
      <selection pane="bottomLeft" activeCell="F39" sqref="F39"/>
    </sheetView>
  </sheetViews>
  <sheetFormatPr defaultColWidth="9.140625" defaultRowHeight="12.75"/>
  <cols>
    <col min="2" max="2" width="23.28125" style="0" customWidth="1"/>
    <col min="3" max="3" width="10.421875" style="0" customWidth="1"/>
    <col min="4" max="4" width="9.28125" style="0" customWidth="1"/>
    <col min="6" max="9" width="11.57421875" style="0" customWidth="1"/>
    <col min="10" max="10" width="10.421875" style="0" customWidth="1"/>
  </cols>
  <sheetData>
    <row r="1" spans="1:10" ht="12.75">
      <c r="A1" s="29" t="str">
        <f>Clientes!A1</f>
        <v>Nº</v>
      </c>
      <c r="B1" s="29" t="s">
        <v>113</v>
      </c>
      <c r="C1" s="30" t="s">
        <v>114</v>
      </c>
      <c r="D1" s="91" t="s">
        <v>115</v>
      </c>
      <c r="E1" s="90" t="s">
        <v>116</v>
      </c>
      <c r="F1" s="80" t="s">
        <v>117</v>
      </c>
      <c r="G1" s="30" t="s">
        <v>118</v>
      </c>
      <c r="H1" s="80" t="s">
        <v>119</v>
      </c>
      <c r="I1" s="30" t="s">
        <v>120</v>
      </c>
      <c r="J1" s="80" t="s">
        <v>121</v>
      </c>
    </row>
    <row r="2" spans="1:10" ht="12.75">
      <c r="A2" s="25" t="str">
        <f>Clientes!A2</f>
        <v>001</v>
      </c>
      <c r="B2" s="35" t="str">
        <f>Clientes!B2</f>
        <v>JS</v>
      </c>
      <c r="C2" s="36">
        <f>Clientes!F2*$D$41</f>
        <v>683.918974139008</v>
      </c>
      <c r="D2" s="85">
        <f>Clientes!G2*$D$42</f>
        <v>547.0477921806408</v>
      </c>
      <c r="E2" s="86">
        <f>Clientes!H2*$D$43</f>
        <v>811.7470841344536</v>
      </c>
      <c r="F2" s="77">
        <f>SUM(C2:E2)</f>
        <v>2042.7138504541024</v>
      </c>
      <c r="G2" s="36">
        <f aca="true" t="shared" si="0" ref="G2:G37">(F2/(100%-$C$54))/(100%-$C$52)</f>
        <v>3225.5583547096944</v>
      </c>
      <c r="H2" s="77">
        <v>1500</v>
      </c>
      <c r="I2" s="36">
        <f>IF(H2&lt;G2,(G2-H2),0)</f>
        <v>1725.5583547096944</v>
      </c>
      <c r="J2" s="77">
        <f>IF(H2&gt;G2,(H2-G2),0)</f>
        <v>0</v>
      </c>
    </row>
    <row r="3" spans="1:10" ht="12.75">
      <c r="A3" s="25" t="str">
        <f>Clientes!A3</f>
        <v>006</v>
      </c>
      <c r="B3" s="35" t="str">
        <f>Clientes!B3</f>
        <v>ABC</v>
      </c>
      <c r="C3" s="36">
        <f>Clientes!F3*$D$41</f>
        <v>23.341944509863755</v>
      </c>
      <c r="D3" s="85">
        <f>Clientes!G3*$D$42</f>
        <v>31.25987383889376</v>
      </c>
      <c r="E3" s="86">
        <f>Clientes!H3*$D$43</f>
        <v>31.221041697478988</v>
      </c>
      <c r="F3" s="77">
        <f aca="true" t="shared" si="1" ref="F3:F37">SUM(C3:E3)</f>
        <v>85.82286004623651</v>
      </c>
      <c r="G3" s="36">
        <f t="shared" si="0"/>
        <v>135.51905137652025</v>
      </c>
      <c r="H3" s="77">
        <v>180</v>
      </c>
      <c r="I3" s="36">
        <f aca="true" t="shared" si="2" ref="I3:I37">IF(H3&lt;G3,(G3-H3),0)</f>
        <v>0</v>
      </c>
      <c r="J3" s="77">
        <f aca="true" t="shared" si="3" ref="J3:J37">IF(H3&gt;G3,(H3-G3),0)</f>
        <v>44.48094862347975</v>
      </c>
    </row>
    <row r="4" spans="1:10" ht="12.75">
      <c r="A4" s="25" t="str">
        <f>Clientes!A4</f>
        <v>013</v>
      </c>
      <c r="B4" s="35" t="str">
        <f>Clientes!B4</f>
        <v>XYZ</v>
      </c>
      <c r="C4" s="36">
        <f>Clientes!F4*$D$41</f>
        <v>560.2066682367301</v>
      </c>
      <c r="D4" s="85">
        <f>Clientes!G4*$D$42</f>
        <v>468.89810758340644</v>
      </c>
      <c r="E4" s="86">
        <f>Clientes!H4*$D$43</f>
        <v>124.88416678991595</v>
      </c>
      <c r="F4" s="77">
        <f t="shared" si="1"/>
        <v>1153.9889426100526</v>
      </c>
      <c r="G4" s="36">
        <f t="shared" si="0"/>
        <v>1822.2124818172601</v>
      </c>
      <c r="H4" s="77">
        <v>1500</v>
      </c>
      <c r="I4" s="36">
        <f t="shared" si="2"/>
        <v>322.21248181726014</v>
      </c>
      <c r="J4" s="77">
        <f t="shared" si="3"/>
        <v>0</v>
      </c>
    </row>
    <row r="5" spans="1:10" ht="12.75">
      <c r="A5" s="25" t="str">
        <f>Clientes!A5</f>
        <v>015</v>
      </c>
      <c r="B5" s="35" t="str">
        <f>Clientes!B5</f>
        <v>VVV</v>
      </c>
      <c r="C5" s="36">
        <f>Clientes!F5*$D$41</f>
        <v>65.35744462761852</v>
      </c>
      <c r="D5" s="85">
        <f>Clientes!G5*$D$42</f>
        <v>312.5987383889376</v>
      </c>
      <c r="E5" s="86">
        <f>Clientes!H5*$D$43</f>
        <v>1592.2731265714283</v>
      </c>
      <c r="F5" s="77">
        <f t="shared" si="1"/>
        <v>1970.2293095879845</v>
      </c>
      <c r="G5" s="36">
        <f t="shared" si="0"/>
        <v>3111.1012483822337</v>
      </c>
      <c r="H5" s="77">
        <v>2000</v>
      </c>
      <c r="I5" s="36">
        <f t="shared" si="2"/>
        <v>1111.1012483822337</v>
      </c>
      <c r="J5" s="77">
        <f t="shared" si="3"/>
        <v>0</v>
      </c>
    </row>
    <row r="6" spans="1:10" ht="12.75">
      <c r="A6" s="25" t="str">
        <f>Clientes!A6</f>
        <v>016</v>
      </c>
      <c r="B6" s="35" t="str">
        <f>Clientes!B6</f>
        <v>TAB</v>
      </c>
      <c r="C6" s="36">
        <f>Clientes!F6*$D$41</f>
        <v>184.40136162792365</v>
      </c>
      <c r="D6" s="85">
        <f>Clientes!G6*$D$42</f>
        <v>125.03949535557504</v>
      </c>
      <c r="E6" s="86">
        <f>Clientes!H6*$D$43</f>
        <v>156.10520848739495</v>
      </c>
      <c r="F6" s="77">
        <f t="shared" si="1"/>
        <v>465.5460654708936</v>
      </c>
      <c r="G6" s="36">
        <f t="shared" si="0"/>
        <v>735.1230328457636</v>
      </c>
      <c r="H6" s="77">
        <v>750</v>
      </c>
      <c r="I6" s="36">
        <f t="shared" si="2"/>
        <v>0</v>
      </c>
      <c r="J6" s="77">
        <f t="shared" si="3"/>
        <v>14.876967154236354</v>
      </c>
    </row>
    <row r="7" spans="1:10" ht="12.75">
      <c r="A7" s="25" t="str">
        <f>Clientes!A7</f>
        <v>023</v>
      </c>
      <c r="B7" s="35" t="str">
        <f>Clientes!B7</f>
        <v>YO0O</v>
      </c>
      <c r="C7" s="36">
        <f>Clientes!F7*$D$41</f>
        <v>191.40394498088278</v>
      </c>
      <c r="D7" s="85">
        <f>Clientes!G7*$D$42</f>
        <v>234.44905379170322</v>
      </c>
      <c r="E7" s="86">
        <f>Clientes!H7*$D$43</f>
        <v>93.66312509243696</v>
      </c>
      <c r="F7" s="77">
        <f t="shared" si="1"/>
        <v>519.516123865023</v>
      </c>
      <c r="G7" s="36">
        <f t="shared" si="0"/>
        <v>820.3447454799903</v>
      </c>
      <c r="H7" s="77">
        <v>450</v>
      </c>
      <c r="I7" s="36">
        <f t="shared" si="2"/>
        <v>370.34474547999025</v>
      </c>
      <c r="J7" s="77">
        <f t="shared" si="3"/>
        <v>0</v>
      </c>
    </row>
    <row r="8" spans="1:10" ht="12.75">
      <c r="A8" s="25" t="str">
        <f>Clientes!A8</f>
        <v>024</v>
      </c>
      <c r="B8" s="35" t="str">
        <f>Clientes!B8</f>
        <v>UIO</v>
      </c>
      <c r="C8" s="36">
        <f>Clientes!F8*$D$41</f>
        <v>70.02583352959127</v>
      </c>
      <c r="D8" s="85">
        <f>Clientes!G8*$D$42</f>
        <v>78.1496845972344</v>
      </c>
      <c r="E8" s="86">
        <f>Clientes!H8*$D$43</f>
        <v>62.442083394957976</v>
      </c>
      <c r="F8" s="77">
        <f t="shared" si="1"/>
        <v>210.61760152178363</v>
      </c>
      <c r="G8" s="36">
        <f t="shared" si="0"/>
        <v>332.57686292501637</v>
      </c>
      <c r="H8" s="77">
        <v>400</v>
      </c>
      <c r="I8" s="36">
        <f t="shared" si="2"/>
        <v>0</v>
      </c>
      <c r="J8" s="77">
        <f t="shared" si="3"/>
        <v>67.42313707498363</v>
      </c>
    </row>
    <row r="9" spans="1:10" ht="12.75">
      <c r="A9" s="25" t="str">
        <f>Clientes!A9</f>
        <v>025</v>
      </c>
      <c r="B9" s="35" t="str">
        <f>Clientes!B9</f>
        <v>IEO</v>
      </c>
      <c r="C9" s="36">
        <f>Clientes!F9*$D$41</f>
        <v>819.3022522962178</v>
      </c>
      <c r="D9" s="85">
        <f>Clientes!G9*$D$42</f>
        <v>672.0872875362159</v>
      </c>
      <c r="E9" s="86">
        <f>Clientes!H9*$D$43</f>
        <v>280.9893752773109</v>
      </c>
      <c r="F9" s="77">
        <f t="shared" si="1"/>
        <v>1772.3789151097446</v>
      </c>
      <c r="G9" s="36">
        <f t="shared" si="0"/>
        <v>2798.684512797841</v>
      </c>
      <c r="H9" s="77">
        <v>2500</v>
      </c>
      <c r="I9" s="36">
        <f t="shared" si="2"/>
        <v>298.68451279784085</v>
      </c>
      <c r="J9" s="77">
        <f t="shared" si="3"/>
        <v>0</v>
      </c>
    </row>
    <row r="10" spans="1:10" ht="12.75">
      <c r="A10" s="25" t="str">
        <f>Clientes!A10</f>
        <v>027</v>
      </c>
      <c r="B10" s="35" t="str">
        <f>Clientes!B10</f>
        <v>OEI</v>
      </c>
      <c r="C10" s="36">
        <f>Clientes!F10*$D$41</f>
        <v>667.5796129821034</v>
      </c>
      <c r="D10" s="85">
        <f>Clientes!G10*$D$42</f>
        <v>812.7567198112378</v>
      </c>
      <c r="E10" s="86">
        <f>Clientes!H10*$D$43</f>
        <v>218.5472918823529</v>
      </c>
      <c r="F10" s="77">
        <f t="shared" si="1"/>
        <v>1698.8836246756941</v>
      </c>
      <c r="G10" s="36">
        <f t="shared" si="0"/>
        <v>2682.631376897936</v>
      </c>
      <c r="H10" s="77">
        <v>2500</v>
      </c>
      <c r="I10" s="36">
        <f t="shared" si="2"/>
        <v>182.6313768979362</v>
      </c>
      <c r="J10" s="77">
        <f t="shared" si="3"/>
        <v>0</v>
      </c>
    </row>
    <row r="11" spans="1:10" ht="12.75">
      <c r="A11" s="25" t="str">
        <f>Clientes!A11</f>
        <v>028</v>
      </c>
      <c r="B11" s="35" t="str">
        <f>Clientes!B11</f>
        <v>OEUI</v>
      </c>
      <c r="C11" s="36">
        <f>Clientes!F11*$D$41</f>
        <v>207.7433061377874</v>
      </c>
      <c r="D11" s="85">
        <f>Clientes!G11*$D$42</f>
        <v>156.2993691944688</v>
      </c>
      <c r="E11" s="86">
        <f>Clientes!H11*$D$43</f>
        <v>249.7683335798319</v>
      </c>
      <c r="F11" s="77">
        <f t="shared" si="1"/>
        <v>613.811008912088</v>
      </c>
      <c r="G11" s="36">
        <f t="shared" si="0"/>
        <v>969.241593759712</v>
      </c>
      <c r="H11" s="77">
        <v>900</v>
      </c>
      <c r="I11" s="36">
        <f t="shared" si="2"/>
        <v>69.24159375971203</v>
      </c>
      <c r="J11" s="77">
        <f t="shared" si="3"/>
        <v>0</v>
      </c>
    </row>
    <row r="12" spans="1:10" ht="12.75">
      <c r="A12" s="25" t="str">
        <f>Clientes!A12</f>
        <v>030</v>
      </c>
      <c r="B12" s="35" t="str">
        <f>Clientes!B12</f>
        <v>ONM</v>
      </c>
      <c r="C12" s="36">
        <f>Clientes!F12*$D$41</f>
        <v>219.4142783927193</v>
      </c>
      <c r="D12" s="85">
        <f>Clientes!G12*$D$42</f>
        <v>156.2993691944688</v>
      </c>
      <c r="E12" s="86">
        <f>Clientes!H12*$D$43</f>
        <v>218.5472918823529</v>
      </c>
      <c r="F12" s="77">
        <f t="shared" si="1"/>
        <v>594.260939469541</v>
      </c>
      <c r="G12" s="36">
        <f t="shared" si="0"/>
        <v>938.3709508590708</v>
      </c>
      <c r="H12" s="77">
        <v>800</v>
      </c>
      <c r="I12" s="36">
        <f t="shared" si="2"/>
        <v>138.37095085907083</v>
      </c>
      <c r="J12" s="77">
        <f t="shared" si="3"/>
        <v>0</v>
      </c>
    </row>
    <row r="13" spans="1:10" ht="12.75">
      <c r="A13" s="25" t="str">
        <f>Clientes!A13</f>
        <v>031</v>
      </c>
      <c r="B13" s="35" t="str">
        <f>Clientes!B13</f>
        <v>IOMB</v>
      </c>
      <c r="C13" s="36">
        <f>Clientes!F13*$D$41</f>
        <v>28.010333411836505</v>
      </c>
      <c r="D13" s="85">
        <f>Clientes!G13*$D$42</f>
        <v>62.51974767778752</v>
      </c>
      <c r="E13" s="86">
        <f>Clientes!H13*$D$43</f>
        <v>156.10520848739495</v>
      </c>
      <c r="F13" s="77">
        <f t="shared" si="1"/>
        <v>246.63528957701897</v>
      </c>
      <c r="G13" s="36">
        <f t="shared" si="0"/>
        <v>389.45078807026636</v>
      </c>
      <c r="H13" s="77">
        <v>290</v>
      </c>
      <c r="I13" s="36">
        <f t="shared" si="2"/>
        <v>99.45078807026636</v>
      </c>
      <c r="J13" s="77">
        <f t="shared" si="3"/>
        <v>0</v>
      </c>
    </row>
    <row r="14" spans="1:10" ht="12.75">
      <c r="A14" s="25" t="str">
        <f>Clientes!A14</f>
        <v>036</v>
      </c>
      <c r="B14" s="35" t="str">
        <f>Clientes!B14</f>
        <v>IOO</v>
      </c>
      <c r="C14" s="36">
        <f>Clientes!F14*$D$41</f>
        <v>72.36002798057764</v>
      </c>
      <c r="D14" s="85">
        <f>Clientes!G14*$D$42</f>
        <v>109.40955843612817</v>
      </c>
      <c r="E14" s="86">
        <f>Clientes!H14*$D$43</f>
        <v>62.442083394957976</v>
      </c>
      <c r="F14" s="77">
        <f t="shared" si="1"/>
        <v>244.2116698116638</v>
      </c>
      <c r="G14" s="36">
        <f t="shared" si="0"/>
        <v>385.62375817029135</v>
      </c>
      <c r="H14" s="77">
        <v>400</v>
      </c>
      <c r="I14" s="36">
        <f t="shared" si="2"/>
        <v>0</v>
      </c>
      <c r="J14" s="77">
        <f t="shared" si="3"/>
        <v>14.376241829708647</v>
      </c>
    </row>
    <row r="15" spans="1:10" ht="12.75">
      <c r="A15" s="25" t="str">
        <f>Clientes!A15</f>
        <v>041</v>
      </c>
      <c r="B15" s="35" t="str">
        <f>Clientes!B15</f>
        <v>MNN</v>
      </c>
      <c r="C15" s="36">
        <f>Clientes!F15*$D$41</f>
        <v>504.1860014130571</v>
      </c>
      <c r="D15" s="85">
        <f>Clientes!G15*$D$42</f>
        <v>390.74842298617205</v>
      </c>
      <c r="E15" s="86">
        <f>Clientes!H15*$D$43</f>
        <v>249.7683335798319</v>
      </c>
      <c r="F15" s="77">
        <f t="shared" si="1"/>
        <v>1144.702757979061</v>
      </c>
      <c r="G15" s="36">
        <f t="shared" si="0"/>
        <v>1807.549081746216</v>
      </c>
      <c r="H15" s="77">
        <v>1500</v>
      </c>
      <c r="I15" s="36">
        <f t="shared" si="2"/>
        <v>307.54908174621596</v>
      </c>
      <c r="J15" s="77">
        <f t="shared" si="3"/>
        <v>0</v>
      </c>
    </row>
    <row r="16" spans="1:10" ht="12.75">
      <c r="A16" s="25" t="str">
        <f>Clientes!A16</f>
        <v>042</v>
      </c>
      <c r="B16" s="35" t="str">
        <f>Clientes!B16</f>
        <v>MM</v>
      </c>
      <c r="C16" s="36">
        <f>Clientes!F16*$D$41</f>
        <v>84.03100023550951</v>
      </c>
      <c r="D16" s="85">
        <f>Clientes!G16*$D$42</f>
        <v>125.03949535557504</v>
      </c>
      <c r="E16" s="86">
        <f>Clientes!H16*$D$43</f>
        <v>93.66312509243696</v>
      </c>
      <c r="F16" s="77">
        <f t="shared" si="1"/>
        <v>302.7336206835215</v>
      </c>
      <c r="G16" s="36">
        <f t="shared" si="0"/>
        <v>478.0331612429085</v>
      </c>
      <c r="H16" s="77">
        <v>250</v>
      </c>
      <c r="I16" s="36">
        <f t="shared" si="2"/>
        <v>228.03316124290848</v>
      </c>
      <c r="J16" s="77">
        <f t="shared" si="3"/>
        <v>0</v>
      </c>
    </row>
    <row r="17" spans="1:10" ht="12.75">
      <c r="A17" s="25" t="str">
        <f>Clientes!A17</f>
        <v>044</v>
      </c>
      <c r="B17" s="35" t="str">
        <f>Clientes!B17</f>
        <v>MEB</v>
      </c>
      <c r="C17" s="36">
        <f>Clientes!F17*$D$41</f>
        <v>142.3858615101689</v>
      </c>
      <c r="D17" s="85">
        <f>Clientes!G17*$D$42</f>
        <v>125.03949535557504</v>
      </c>
      <c r="E17" s="86">
        <f>Clientes!H17*$D$43</f>
        <v>124.88416678991595</v>
      </c>
      <c r="F17" s="77">
        <f t="shared" si="1"/>
        <v>392.30952365565986</v>
      </c>
      <c r="G17" s="36">
        <f t="shared" si="0"/>
        <v>619.478475351987</v>
      </c>
      <c r="H17" s="77">
        <v>600</v>
      </c>
      <c r="I17" s="36">
        <f t="shared" si="2"/>
        <v>19.47847535198696</v>
      </c>
      <c r="J17" s="77">
        <f t="shared" si="3"/>
        <v>0</v>
      </c>
    </row>
    <row r="18" spans="1:10" ht="12.75">
      <c r="A18" s="25" t="str">
        <f>Clientes!A18</f>
        <v>046</v>
      </c>
      <c r="B18" s="35" t="str">
        <f>Clientes!B18</f>
        <v>EAD</v>
      </c>
      <c r="C18" s="36">
        <f>Clientes!F18*$D$41</f>
        <v>91.03358358846864</v>
      </c>
      <c r="D18" s="85">
        <f>Clientes!G18*$D$42</f>
        <v>109.40955843612817</v>
      </c>
      <c r="E18" s="86">
        <f>Clientes!H18*$D$43</f>
        <v>156.10520848739495</v>
      </c>
      <c r="F18" s="77">
        <f t="shared" si="1"/>
        <v>356.54835051199177</v>
      </c>
      <c r="G18" s="36">
        <f t="shared" si="0"/>
        <v>563.0096014653504</v>
      </c>
      <c r="H18" s="77">
        <v>600</v>
      </c>
      <c r="I18" s="36">
        <f t="shared" si="2"/>
        <v>0</v>
      </c>
      <c r="J18" s="77">
        <f t="shared" si="3"/>
        <v>36.99039853464956</v>
      </c>
    </row>
    <row r="19" spans="1:10" ht="12.75">
      <c r="A19" s="25" t="str">
        <f>Clientes!A19</f>
        <v>055</v>
      </c>
      <c r="B19" s="35" t="str">
        <f>Clientes!B19</f>
        <v>EIA</v>
      </c>
      <c r="C19" s="36">
        <f>Clientes!F19*$D$41</f>
        <v>49.01808347071388</v>
      </c>
      <c r="D19" s="85">
        <f>Clientes!G19*$D$42</f>
        <v>31.25987383889376</v>
      </c>
      <c r="E19" s="86">
        <f>Clientes!H19*$D$43</f>
        <v>187.3262501848739</v>
      </c>
      <c r="F19" s="77">
        <f t="shared" si="1"/>
        <v>267.60420749448156</v>
      </c>
      <c r="G19" s="36">
        <f t="shared" si="0"/>
        <v>422.56187132985133</v>
      </c>
      <c r="H19" s="77">
        <v>150</v>
      </c>
      <c r="I19" s="36">
        <f t="shared" si="2"/>
        <v>272.56187132985133</v>
      </c>
      <c r="J19" s="77">
        <f t="shared" si="3"/>
        <v>0</v>
      </c>
    </row>
    <row r="20" spans="1:10" ht="12.75">
      <c r="A20" s="25" t="str">
        <f>Clientes!A20</f>
        <v>062</v>
      </c>
      <c r="B20" s="35" t="str">
        <f>Clientes!B20</f>
        <v>ILMNB</v>
      </c>
      <c r="C20" s="36">
        <f>Clientes!F20*$D$41</f>
        <v>23.341944509863755</v>
      </c>
      <c r="D20" s="85">
        <f>Clientes!G20*$D$42</f>
        <v>62.51974767778752</v>
      </c>
      <c r="E20" s="86">
        <f>Clientes!H20*$D$43</f>
        <v>93.66312509243696</v>
      </c>
      <c r="F20" s="77">
        <f t="shared" si="1"/>
        <v>179.52481728008823</v>
      </c>
      <c r="G20" s="36">
        <f t="shared" si="0"/>
        <v>283.4796337856088</v>
      </c>
      <c r="H20" s="77">
        <v>150</v>
      </c>
      <c r="I20" s="36">
        <f t="shared" si="2"/>
        <v>133.47963378560883</v>
      </c>
      <c r="J20" s="77">
        <f t="shared" si="3"/>
        <v>0</v>
      </c>
    </row>
    <row r="21" spans="1:10" ht="12.75">
      <c r="A21" s="25" t="str">
        <f>Clientes!A21</f>
        <v>063</v>
      </c>
      <c r="B21" s="35" t="str">
        <f>Clientes!B21</f>
        <v>IMM</v>
      </c>
      <c r="C21" s="36">
        <f>Clientes!F21*$D$41</f>
        <v>252.09300070652856</v>
      </c>
      <c r="D21" s="85">
        <f>Clientes!G21*$D$42</f>
        <v>312.5987383889376</v>
      </c>
      <c r="E21" s="86">
        <f>Clientes!H21*$D$43</f>
        <v>249.7683335798319</v>
      </c>
      <c r="F21" s="77">
        <f t="shared" si="1"/>
        <v>814.4600726752981</v>
      </c>
      <c r="G21" s="36">
        <f t="shared" si="0"/>
        <v>1286.0775832166908</v>
      </c>
      <c r="H21" s="77">
        <v>1100</v>
      </c>
      <c r="I21" s="36">
        <f t="shared" si="2"/>
        <v>186.07758321669075</v>
      </c>
      <c r="J21" s="77">
        <f t="shared" si="3"/>
        <v>0</v>
      </c>
    </row>
    <row r="22" spans="1:10" ht="12.75">
      <c r="A22" s="25" t="str">
        <f>Clientes!A22</f>
        <v>066</v>
      </c>
      <c r="B22" s="35" t="str">
        <f>Clientes!B22</f>
        <v>IMMB</v>
      </c>
      <c r="C22" s="36">
        <f>Clientes!F22*$D$41</f>
        <v>385.14208441275196</v>
      </c>
      <c r="D22" s="85">
        <f>Clientes!G22*$D$42</f>
        <v>312.5987383889376</v>
      </c>
      <c r="E22" s="86">
        <f>Clientes!H22*$D$43</f>
        <v>655.6418756470588</v>
      </c>
      <c r="F22" s="77">
        <f t="shared" si="1"/>
        <v>1353.3826984487482</v>
      </c>
      <c r="G22" s="36">
        <f t="shared" si="0"/>
        <v>2137.0662705060054</v>
      </c>
      <c r="H22" s="77">
        <v>1100</v>
      </c>
      <c r="I22" s="36">
        <f t="shared" si="2"/>
        <v>1037.0662705060054</v>
      </c>
      <c r="J22" s="77">
        <f t="shared" si="3"/>
        <v>0</v>
      </c>
    </row>
    <row r="23" spans="1:10" ht="12.75">
      <c r="A23" s="25" t="str">
        <f>Clientes!A23</f>
        <v>073</v>
      </c>
      <c r="B23" s="35" t="str">
        <f>Clientes!B23</f>
        <v>NBU</v>
      </c>
      <c r="C23" s="36">
        <f>Clientes!F23*$D$41</f>
        <v>11.670972254931877</v>
      </c>
      <c r="D23" s="85">
        <f>Clientes!G23*$D$42</f>
        <v>0</v>
      </c>
      <c r="E23" s="86">
        <f>Clientes!H23*$D$43</f>
        <v>62.442083394957976</v>
      </c>
      <c r="F23" s="77">
        <f t="shared" si="1"/>
        <v>74.11305564988986</v>
      </c>
      <c r="G23" s="36">
        <f t="shared" si="0"/>
        <v>117.02862140550121</v>
      </c>
      <c r="H23" s="77">
        <v>300</v>
      </c>
      <c r="I23" s="36">
        <f t="shared" si="2"/>
        <v>0</v>
      </c>
      <c r="J23" s="77">
        <f t="shared" si="3"/>
        <v>182.9713785944988</v>
      </c>
    </row>
    <row r="24" spans="1:10" ht="12.75">
      <c r="A24" s="25" t="str">
        <f>Clientes!A24</f>
        <v>076</v>
      </c>
      <c r="B24" s="35" t="str">
        <f>Clientes!B24</f>
        <v>FIL</v>
      </c>
      <c r="C24" s="36">
        <f>Clientes!F24*$D$41</f>
        <v>714.263502001831</v>
      </c>
      <c r="D24" s="85">
        <f>Clientes!G24*$D$42</f>
        <v>547.0477921806408</v>
      </c>
      <c r="E24" s="86">
        <f>Clientes!H24*$D$43</f>
        <v>249.7683335798319</v>
      </c>
      <c r="F24" s="77">
        <f t="shared" si="1"/>
        <v>1511.0796277623037</v>
      </c>
      <c r="G24" s="36">
        <f t="shared" si="0"/>
        <v>2386.0784597298293</v>
      </c>
      <c r="H24" s="77">
        <v>4000</v>
      </c>
      <c r="I24" s="36">
        <f t="shared" si="2"/>
        <v>0</v>
      </c>
      <c r="J24" s="77">
        <f t="shared" si="3"/>
        <v>1613.9215402701707</v>
      </c>
    </row>
    <row r="25" spans="1:10" ht="12.75">
      <c r="A25" s="25" t="str">
        <f>Clientes!A25</f>
        <v>081</v>
      </c>
      <c r="B25" s="35" t="str">
        <f>Clientes!B25</f>
        <v>INN</v>
      </c>
      <c r="C25" s="36">
        <f>Clientes!F25*$D$41</f>
        <v>23.341944509863755</v>
      </c>
      <c r="D25" s="85">
        <f>Clientes!G25*$D$42</f>
        <v>0</v>
      </c>
      <c r="E25" s="86">
        <f>Clientes!H25*$D$43</f>
        <v>93.66312509243696</v>
      </c>
      <c r="F25" s="77">
        <f t="shared" si="1"/>
        <v>117.00506960230071</v>
      </c>
      <c r="G25" s="36">
        <f t="shared" si="0"/>
        <v>184.75748804228823</v>
      </c>
      <c r="H25" s="77">
        <v>400</v>
      </c>
      <c r="I25" s="36">
        <f t="shared" si="2"/>
        <v>0</v>
      </c>
      <c r="J25" s="77">
        <f t="shared" si="3"/>
        <v>215.24251195771177</v>
      </c>
    </row>
    <row r="26" spans="1:10" ht="12.75">
      <c r="A26" s="25" t="str">
        <f>Clientes!A26</f>
        <v>082</v>
      </c>
      <c r="B26" s="35" t="str">
        <f>Clientes!B26</f>
        <v>NBI</v>
      </c>
      <c r="C26" s="36">
        <f>Clientes!F26*$D$41</f>
        <v>88.69938913748227</v>
      </c>
      <c r="D26" s="85">
        <f>Clientes!G26*$D$42</f>
        <v>109.40955843612817</v>
      </c>
      <c r="E26" s="86">
        <f>Clientes!H26*$D$43</f>
        <v>312.2104169747899</v>
      </c>
      <c r="F26" s="77">
        <f t="shared" si="1"/>
        <v>510.31936454840036</v>
      </c>
      <c r="G26" s="36">
        <f t="shared" si="0"/>
        <v>805.8225529353067</v>
      </c>
      <c r="H26" s="77">
        <v>800</v>
      </c>
      <c r="I26" s="36">
        <f t="shared" si="2"/>
        <v>5.822552935306703</v>
      </c>
      <c r="J26" s="77">
        <f t="shared" si="3"/>
        <v>0</v>
      </c>
    </row>
    <row r="27" spans="1:10" ht="12.75">
      <c r="A27" s="25" t="str">
        <f>Clientes!A27</f>
        <v>083</v>
      </c>
      <c r="B27" s="35" t="str">
        <f>Clientes!B27</f>
        <v>UIB</v>
      </c>
      <c r="C27" s="36">
        <f>Clientes!F27*$D$41</f>
        <v>0</v>
      </c>
      <c r="D27" s="85">
        <f>Clientes!G27*$D$42</f>
        <v>500.15798142230017</v>
      </c>
      <c r="E27" s="86">
        <f>Clientes!H27*$D$43</f>
        <v>249.7683335798319</v>
      </c>
      <c r="F27" s="77">
        <f t="shared" si="1"/>
        <v>749.926315002132</v>
      </c>
      <c r="G27" s="36">
        <f t="shared" si="0"/>
        <v>1184.175204096278</v>
      </c>
      <c r="H27" s="77">
        <v>650</v>
      </c>
      <c r="I27" s="36">
        <f t="shared" si="2"/>
        <v>534.1752040962781</v>
      </c>
      <c r="J27" s="77">
        <f t="shared" si="3"/>
        <v>0</v>
      </c>
    </row>
    <row r="28" spans="1:10" ht="12.75">
      <c r="A28" s="25" t="str">
        <f>Clientes!A28</f>
        <v>090</v>
      </c>
      <c r="B28" s="35" t="str">
        <f>Clientes!B28</f>
        <v>UOO</v>
      </c>
      <c r="C28" s="36">
        <f>Clientes!F28*$D$41</f>
        <v>175.06458382397815</v>
      </c>
      <c r="D28" s="85">
        <f>Clientes!G28*$D$42</f>
        <v>187.55924303336258</v>
      </c>
      <c r="E28" s="86">
        <f>Clientes!H28*$D$43</f>
        <v>249.7683335798319</v>
      </c>
      <c r="F28" s="77">
        <f t="shared" si="1"/>
        <v>612.3921604371726</v>
      </c>
      <c r="G28" s="36">
        <f t="shared" si="0"/>
        <v>967.0011534007684</v>
      </c>
      <c r="H28" s="77">
        <v>1100</v>
      </c>
      <c r="I28" s="36">
        <f t="shared" si="2"/>
        <v>0</v>
      </c>
      <c r="J28" s="77">
        <f t="shared" si="3"/>
        <v>132.99884659923157</v>
      </c>
    </row>
    <row r="29" spans="1:10" ht="12.75">
      <c r="A29" s="25" t="str">
        <f>Clientes!A29</f>
        <v>093</v>
      </c>
      <c r="B29" s="35" t="str">
        <f>Clientes!B29</f>
        <v>NMB</v>
      </c>
      <c r="C29" s="36">
        <f>Clientes!F29*$D$41</f>
        <v>30.34452786282288</v>
      </c>
      <c r="D29" s="85">
        <f>Clientes!G29*$D$42</f>
        <v>187.55924303336258</v>
      </c>
      <c r="E29" s="86">
        <f>Clientes!H29*$D$43</f>
        <v>374.6525003697478</v>
      </c>
      <c r="F29" s="77">
        <f t="shared" si="1"/>
        <v>592.5562712659332</v>
      </c>
      <c r="G29" s="36">
        <f t="shared" si="0"/>
        <v>935.6791853115211</v>
      </c>
      <c r="H29" s="77">
        <v>900</v>
      </c>
      <c r="I29" s="36">
        <f t="shared" si="2"/>
        <v>35.67918531152111</v>
      </c>
      <c r="J29" s="78">
        <f t="shared" si="3"/>
        <v>0</v>
      </c>
    </row>
    <row r="30" spans="1:10" ht="12.75">
      <c r="A30" t="str">
        <f>Clientes!A30</f>
        <v>105</v>
      </c>
      <c r="B30" s="35" t="str">
        <f>Clientes!B30</f>
        <v>ABD</v>
      </c>
      <c r="C30" s="36">
        <f>Clientes!F30*$D$41</f>
        <v>39.68130566676838</v>
      </c>
      <c r="D30" s="85">
        <f>Clientes!G30*$D$42</f>
        <v>125.03949535557504</v>
      </c>
      <c r="E30" s="86">
        <f>Clientes!H30*$D$43</f>
        <v>405.8735420672268</v>
      </c>
      <c r="F30" s="77">
        <f t="shared" si="1"/>
        <v>570.5943430895702</v>
      </c>
      <c r="G30" s="36">
        <f t="shared" si="0"/>
        <v>901.000083831373</v>
      </c>
      <c r="H30" s="77">
        <v>900</v>
      </c>
      <c r="I30" s="36">
        <f t="shared" si="2"/>
        <v>1.00008383137299</v>
      </c>
      <c r="J30" s="79">
        <f t="shared" si="3"/>
        <v>0</v>
      </c>
    </row>
    <row r="31" spans="1:10" ht="12.75">
      <c r="A31" t="str">
        <f>Clientes!A31</f>
        <v>118</v>
      </c>
      <c r="B31" s="35" t="str">
        <f>Clientes!B31</f>
        <v>OIP</v>
      </c>
      <c r="C31" s="36">
        <f>Clientes!F31*$D$41</f>
        <v>207.7433061377874</v>
      </c>
      <c r="D31" s="85">
        <f>Clientes!G31*$D$42</f>
        <v>156.2993691944688</v>
      </c>
      <c r="E31" s="86">
        <f>Clientes!H31*$D$43</f>
        <v>156.10520848739495</v>
      </c>
      <c r="F31" s="77">
        <f t="shared" si="1"/>
        <v>520.1478838196512</v>
      </c>
      <c r="G31" s="36">
        <f t="shared" si="0"/>
        <v>821.3423294535697</v>
      </c>
      <c r="H31" s="77">
        <v>800</v>
      </c>
      <c r="I31" s="36">
        <f t="shared" si="2"/>
        <v>21.342329453569732</v>
      </c>
      <c r="J31" s="79">
        <f t="shared" si="3"/>
        <v>0</v>
      </c>
    </row>
    <row r="32" spans="1:10" ht="12.75">
      <c r="A32" t="str">
        <f>Clientes!A32</f>
        <v>148</v>
      </c>
      <c r="B32" s="35" t="str">
        <f>Clientes!B32</f>
        <v>OOOU</v>
      </c>
      <c r="C32" s="36">
        <f>Clientes!F32*$D$41</f>
        <v>373.4711121578201</v>
      </c>
      <c r="D32" s="85">
        <f>Clientes!G32*$D$42</f>
        <v>468.89810758340644</v>
      </c>
      <c r="E32" s="86">
        <f>Clientes!H32*$D$43</f>
        <v>249.7683335798319</v>
      </c>
      <c r="F32" s="77">
        <f t="shared" si="1"/>
        <v>1092.1375533210585</v>
      </c>
      <c r="G32" s="36">
        <f t="shared" si="0"/>
        <v>1724.5457110029504</v>
      </c>
      <c r="H32" s="77">
        <v>1500</v>
      </c>
      <c r="I32" s="36">
        <f t="shared" si="2"/>
        <v>224.54571100295038</v>
      </c>
      <c r="J32" s="79">
        <f t="shared" si="3"/>
        <v>0</v>
      </c>
    </row>
    <row r="33" spans="1:10" ht="12.75">
      <c r="A33" t="str">
        <f>Clientes!A33</f>
        <v>158</v>
      </c>
      <c r="B33" s="35" t="str">
        <f>Clientes!B33</f>
        <v>IUI</v>
      </c>
      <c r="C33" s="36">
        <f>Clientes!F33*$D$41</f>
        <v>308.11366753020155</v>
      </c>
      <c r="D33" s="85">
        <f>Clientes!G33*$D$42</f>
        <v>468.89810758340644</v>
      </c>
      <c r="E33" s="86">
        <f>Clientes!H33*$D$43</f>
        <v>93.66312509243696</v>
      </c>
      <c r="F33" s="77">
        <f t="shared" si="1"/>
        <v>870.674900206045</v>
      </c>
      <c r="G33" s="36">
        <f t="shared" si="0"/>
        <v>1374.8439106981714</v>
      </c>
      <c r="H33" s="77">
        <v>1500</v>
      </c>
      <c r="I33" s="36">
        <f t="shared" si="2"/>
        <v>0</v>
      </c>
      <c r="J33" s="79">
        <f t="shared" si="3"/>
        <v>125.15608930182862</v>
      </c>
    </row>
    <row r="34" spans="1:10" ht="12.75">
      <c r="A34" t="str">
        <f>Clientes!A34</f>
        <v>162</v>
      </c>
      <c r="B34" s="35" t="str">
        <f>Clientes!B34</f>
        <v>XLC</v>
      </c>
      <c r="C34" s="36">
        <f>Clientes!F34*$D$41</f>
        <v>123.7123059022779</v>
      </c>
      <c r="D34" s="85">
        <f>Clientes!G34*$D$42</f>
        <v>109.40955843612817</v>
      </c>
      <c r="E34" s="86">
        <f>Clientes!H34*$D$43</f>
        <v>124.88416678991595</v>
      </c>
      <c r="F34" s="77">
        <f t="shared" si="1"/>
        <v>358.006031128322</v>
      </c>
      <c r="G34" s="36">
        <f t="shared" si="0"/>
        <v>565.3113599272402</v>
      </c>
      <c r="H34" s="77">
        <v>600</v>
      </c>
      <c r="I34" s="36">
        <f t="shared" si="2"/>
        <v>0</v>
      </c>
      <c r="J34" s="79">
        <f t="shared" si="3"/>
        <v>34.68864007275977</v>
      </c>
    </row>
    <row r="35" spans="1:10" ht="12.75">
      <c r="A35" t="str">
        <f>Clientes!A35</f>
        <v>165</v>
      </c>
      <c r="B35" s="35" t="str">
        <f>Clientes!B35</f>
        <v>UOX</v>
      </c>
      <c r="C35" s="36">
        <f>Clientes!F35*$D$41</f>
        <v>91.03358358846864</v>
      </c>
      <c r="D35" s="85">
        <f>Clientes!G35*$D$42</f>
        <v>78.1496845972344</v>
      </c>
      <c r="E35" s="86">
        <f>Clientes!H35*$D$43</f>
        <v>124.88416678991595</v>
      </c>
      <c r="F35" s="77">
        <f t="shared" si="1"/>
        <v>294.067434975619</v>
      </c>
      <c r="G35" s="36">
        <f t="shared" si="0"/>
        <v>464.34877382497586</v>
      </c>
      <c r="H35" s="77">
        <v>450</v>
      </c>
      <c r="I35" s="36">
        <f t="shared" si="2"/>
        <v>14.348773824975865</v>
      </c>
      <c r="J35" s="79">
        <f t="shared" si="3"/>
        <v>0</v>
      </c>
    </row>
    <row r="36" spans="1:10" ht="12.75">
      <c r="A36" t="str">
        <f>Clientes!A36</f>
        <v>166</v>
      </c>
      <c r="B36" s="35" t="str">
        <f>Clientes!B36</f>
        <v>ZZI</v>
      </c>
      <c r="C36" s="36">
        <f>Clientes!F36*$D$41</f>
        <v>67.6916390786049</v>
      </c>
      <c r="D36" s="85">
        <f>Clientes!G36*$D$42</f>
        <v>125.03949535557504</v>
      </c>
      <c r="E36" s="86">
        <f>Clientes!H36*$D$43</f>
        <v>31.221041697478988</v>
      </c>
      <c r="F36" s="77">
        <f t="shared" si="1"/>
        <v>223.95217613165892</v>
      </c>
      <c r="G36" s="36">
        <f t="shared" si="0"/>
        <v>353.6328950901782</v>
      </c>
      <c r="H36" s="77">
        <v>200</v>
      </c>
      <c r="I36" s="36">
        <f t="shared" si="2"/>
        <v>153.63289509017818</v>
      </c>
      <c r="J36" s="79">
        <f t="shared" si="3"/>
        <v>0</v>
      </c>
    </row>
    <row r="37" spans="1:10" ht="12.75">
      <c r="A37" t="str">
        <f>Clientes!A37</f>
        <v>168</v>
      </c>
      <c r="B37" s="35" t="str">
        <f>Clientes!B37</f>
        <v>ZIO</v>
      </c>
      <c r="C37" s="36">
        <f>Clientes!F37*$D$41</f>
        <v>70.02583352959127</v>
      </c>
      <c r="D37" s="85">
        <f>Clientes!G37*$D$42</f>
        <v>78.1496845972344</v>
      </c>
      <c r="E37" s="86">
        <f>Clientes!H37*$D$43</f>
        <v>93.66312509243696</v>
      </c>
      <c r="F37" s="77">
        <f t="shared" si="1"/>
        <v>241.83864321926262</v>
      </c>
      <c r="G37" s="36">
        <f t="shared" si="0"/>
        <v>381.87661769373057</v>
      </c>
      <c r="H37" s="77">
        <v>250</v>
      </c>
      <c r="I37" s="36">
        <f t="shared" si="2"/>
        <v>131.87661769373057</v>
      </c>
      <c r="J37" s="79">
        <f t="shared" si="3"/>
        <v>0</v>
      </c>
    </row>
    <row r="38" spans="1:10" ht="13.5" thickBot="1">
      <c r="A38" s="50"/>
      <c r="B38" s="50"/>
      <c r="C38" s="50"/>
      <c r="D38" s="50"/>
      <c r="E38" s="50"/>
      <c r="F38" s="50"/>
      <c r="G38" s="50"/>
      <c r="H38" s="50"/>
      <c r="I38" s="50"/>
      <c r="J38" s="50"/>
    </row>
    <row r="39" spans="1:10" ht="15.75" thickBot="1">
      <c r="A39" s="52" t="str">
        <f>Clientes!A39</f>
        <v>TOTAL</v>
      </c>
      <c r="B39" s="53"/>
      <c r="C39" s="31">
        <f aca="true" t="shared" si="4" ref="C39:J39">SUM(C2:C37)</f>
        <v>7649.155215882354</v>
      </c>
      <c r="D39" s="15">
        <f t="shared" si="4"/>
        <v>8377.646188823528</v>
      </c>
      <c r="E39" s="13">
        <f t="shared" si="4"/>
        <v>8741.891675294113</v>
      </c>
      <c r="F39" s="32">
        <f t="shared" si="4"/>
        <v>24768.69308</v>
      </c>
      <c r="G39" s="33">
        <f t="shared" si="4"/>
        <v>39111.138783179886</v>
      </c>
      <c r="H39" s="32">
        <f t="shared" si="4"/>
        <v>33970</v>
      </c>
      <c r="I39" s="33">
        <f t="shared" si="4"/>
        <v>7624.265483193156</v>
      </c>
      <c r="J39" s="34">
        <f t="shared" si="4"/>
        <v>2483.1267000132593</v>
      </c>
    </row>
    <row r="41" spans="2:4" s="73" customFormat="1" ht="12.75">
      <c r="B41" s="74" t="s">
        <v>122</v>
      </c>
      <c r="C41" s="75">
        <f>CustosGerais!C36</f>
        <v>7649.155215882352</v>
      </c>
      <c r="D41" s="76">
        <f>C41/Clientes!F39</f>
        <v>2.3341944509863755</v>
      </c>
    </row>
    <row r="42" spans="2:4" s="73" customFormat="1" ht="12.75">
      <c r="B42" s="74" t="s">
        <v>123</v>
      </c>
      <c r="C42" s="75">
        <f>CustosGerais!D36</f>
        <v>8377.646188823528</v>
      </c>
      <c r="D42" s="76">
        <f>C42/Clientes!G39</f>
        <v>1.562993691944688</v>
      </c>
    </row>
    <row r="43" spans="2:4" s="73" customFormat="1" ht="12.75">
      <c r="B43" s="73" t="s">
        <v>124</v>
      </c>
      <c r="C43" s="76">
        <f>CustosGerais!E36</f>
        <v>8741.891675294117</v>
      </c>
      <c r="D43" s="76">
        <f>C43/Clientes!H39</f>
        <v>31.221041697478988</v>
      </c>
    </row>
    <row r="45" ht="13.5" thickBot="1">
      <c r="C45" s="1"/>
    </row>
    <row r="46" spans="2:4" ht="12.75">
      <c r="B46" s="54" t="s">
        <v>125</v>
      </c>
      <c r="C46" s="55"/>
      <c r="D46" s="56"/>
    </row>
    <row r="47" spans="2:3" ht="12.75">
      <c r="B47" s="25" t="s">
        <v>126</v>
      </c>
      <c r="C47" s="37">
        <v>0.0065</v>
      </c>
    </row>
    <row r="48" spans="2:3" ht="12.75">
      <c r="B48" s="25" t="s">
        <v>127</v>
      </c>
      <c r="C48" s="37">
        <v>0.03</v>
      </c>
    </row>
    <row r="49" spans="2:3" ht="12.75">
      <c r="B49" s="25" t="s">
        <v>128</v>
      </c>
      <c r="C49" s="37">
        <v>0.0108</v>
      </c>
    </row>
    <row r="50" spans="2:3" ht="12.75">
      <c r="B50" s="25" t="s">
        <v>129</v>
      </c>
      <c r="C50" s="37">
        <v>0.048</v>
      </c>
    </row>
    <row r="51" spans="1:4" ht="13.5" thickBot="1">
      <c r="A51" s="50"/>
      <c r="B51" s="50"/>
      <c r="C51" s="50"/>
      <c r="D51" s="50"/>
    </row>
    <row r="52" spans="2:3" ht="13.5" thickBot="1">
      <c r="B52" s="11" t="s">
        <v>130</v>
      </c>
      <c r="C52" s="40">
        <f>SUM(C47:C51)</f>
        <v>0.0953</v>
      </c>
    </row>
    <row r="53" spans="1:4" ht="12.75">
      <c r="A53" s="50"/>
      <c r="B53" s="50"/>
      <c r="C53" s="50"/>
      <c r="D53" s="50"/>
    </row>
    <row r="54" spans="2:3" ht="12.75">
      <c r="B54" s="9" t="s">
        <v>131</v>
      </c>
      <c r="C54" s="39">
        <v>0.3</v>
      </c>
    </row>
  </sheetData>
  <printOptions/>
  <pageMargins left="0.75" right="0.75" top="1" bottom="1" header="0.492125985" footer="0.492125985"/>
  <pageSetup fitToHeight="1" fitToWidth="1" horizontalDpi="300" verticalDpi="3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" sqref="A1"/>
    </sheetView>
  </sheetViews>
  <sheetFormatPr defaultColWidth="9.140625" defaultRowHeight="12.75"/>
  <cols>
    <col min="1" max="1" width="25.140625" style="0" customWidth="1"/>
    <col min="4" max="4" width="9.28125" style="0" customWidth="1"/>
  </cols>
  <sheetData>
    <row r="1" spans="1:6" ht="13.5" thickBot="1">
      <c r="A1" s="52" t="s">
        <v>132</v>
      </c>
      <c r="B1" s="61"/>
      <c r="C1" s="61"/>
      <c r="D1" s="61"/>
      <c r="E1" s="61"/>
      <c r="F1" s="53"/>
    </row>
    <row r="2" ht="13.5" thickBot="1"/>
    <row r="3" spans="1:6" ht="13.5" thickBot="1">
      <c r="A3" s="62" t="s">
        <v>133</v>
      </c>
      <c r="B3" s="63"/>
      <c r="C3" s="63"/>
      <c r="D3" s="63"/>
      <c r="E3" s="63"/>
      <c r="F3" s="64"/>
    </row>
    <row r="4" spans="1:6" ht="13.5" thickBot="1">
      <c r="A4" s="65" t="s">
        <v>134</v>
      </c>
      <c r="B4" s="66"/>
      <c r="C4" s="66"/>
      <c r="D4" s="66"/>
      <c r="E4" s="66"/>
      <c r="F4" s="67"/>
    </row>
    <row r="5" spans="1:4" ht="12.75">
      <c r="A5" s="68" t="s">
        <v>135</v>
      </c>
      <c r="B5" s="69"/>
      <c r="C5" s="70"/>
      <c r="D5" s="43">
        <v>1500</v>
      </c>
    </row>
    <row r="6" spans="1:6" ht="13.5" thickBot="1">
      <c r="A6" s="50"/>
      <c r="B6" s="50"/>
      <c r="C6" s="50"/>
      <c r="D6" s="50"/>
      <c r="E6" s="50"/>
      <c r="F6" s="50"/>
    </row>
    <row r="7" spans="1:5" ht="13.5" thickBot="1">
      <c r="A7" s="52" t="s">
        <v>136</v>
      </c>
      <c r="B7" s="61"/>
      <c r="C7" s="61"/>
      <c r="D7" s="61"/>
      <c r="E7" s="53"/>
    </row>
    <row r="8" spans="1:5" ht="12.75">
      <c r="A8" s="5"/>
      <c r="B8" s="5"/>
      <c r="C8" s="5"/>
      <c r="D8" s="5"/>
      <c r="E8" s="5"/>
    </row>
    <row r="9" spans="1:4" ht="12.75">
      <c r="A9" s="29" t="s">
        <v>137</v>
      </c>
      <c r="B9" s="29" t="s">
        <v>138</v>
      </c>
      <c r="C9" s="29" t="s">
        <v>139</v>
      </c>
      <c r="D9" s="29" t="s">
        <v>140</v>
      </c>
    </row>
    <row r="10" spans="1:4" ht="12.75">
      <c r="A10" s="25" t="s">
        <v>141</v>
      </c>
      <c r="B10" s="41">
        <v>50</v>
      </c>
      <c r="C10" s="26">
        <f>CustosxHonorarios!D41</f>
        <v>2.3341944509863755</v>
      </c>
      <c r="D10" s="26">
        <f>B10*C10</f>
        <v>116.70972254931877</v>
      </c>
    </row>
    <row r="11" spans="1:4" ht="12.75">
      <c r="A11" s="25" t="s">
        <v>142</v>
      </c>
      <c r="B11" s="41">
        <v>500</v>
      </c>
      <c r="C11" s="26">
        <f>CustosxHonorarios!D42</f>
        <v>1.562993691944688</v>
      </c>
      <c r="D11" s="26">
        <f>B11*C11</f>
        <v>781.4968459723441</v>
      </c>
    </row>
    <row r="12" spans="1:4" ht="12.75">
      <c r="A12" s="25" t="s">
        <v>143</v>
      </c>
      <c r="B12" s="41">
        <v>20</v>
      </c>
      <c r="C12" s="26">
        <f>CustosxHonorarios!D43</f>
        <v>31.221041697478988</v>
      </c>
      <c r="D12" s="26">
        <f>B12*C12</f>
        <v>624.4208339495798</v>
      </c>
    </row>
    <row r="13" spans="1:4" ht="13.5" thickBot="1">
      <c r="A13" s="57"/>
      <c r="B13" s="57"/>
      <c r="C13" s="57"/>
      <c r="D13" s="57"/>
    </row>
    <row r="14" spans="1:4" ht="13.5" thickBot="1">
      <c r="A14" s="58" t="s">
        <v>144</v>
      </c>
      <c r="B14" s="59"/>
      <c r="C14" s="59"/>
      <c r="D14" s="42">
        <f>SUM(D10:D13)</f>
        <v>1522.6274024712425</v>
      </c>
    </row>
    <row r="15" spans="1:4" ht="12.75">
      <c r="A15" s="60"/>
      <c r="B15" s="60"/>
      <c r="C15" s="60"/>
      <c r="D15" s="60"/>
    </row>
    <row r="16" spans="1:4" ht="12.75">
      <c r="A16" s="50"/>
      <c r="B16" s="50"/>
      <c r="C16" s="50"/>
      <c r="D16" s="50"/>
    </row>
    <row r="17" spans="1:4" ht="12.75">
      <c r="A17" s="25" t="s">
        <v>145</v>
      </c>
      <c r="B17" s="25"/>
      <c r="C17" s="50"/>
      <c r="D17" s="26">
        <f>(D14/(100%-B22))/(100%-B18)</f>
        <v>2404.31303584652</v>
      </c>
    </row>
    <row r="18" spans="1:4" ht="12.75">
      <c r="A18" s="25" t="s">
        <v>146</v>
      </c>
      <c r="B18" s="37">
        <f>CustosxHonorarios!C52</f>
        <v>0.0953</v>
      </c>
      <c r="C18" s="50"/>
      <c r="D18" s="26">
        <f>D17*B18</f>
        <v>229.13103231617336</v>
      </c>
    </row>
    <row r="19" spans="1:4" ht="12.75">
      <c r="A19" s="25" t="s">
        <v>147</v>
      </c>
      <c r="B19" s="37"/>
      <c r="C19" s="50"/>
      <c r="D19" s="26">
        <f>D17-D18</f>
        <v>2175.1820035303467</v>
      </c>
    </row>
    <row r="20" spans="1:4" ht="12.75">
      <c r="A20" s="25" t="s">
        <v>148</v>
      </c>
      <c r="B20" s="25"/>
      <c r="C20" s="50"/>
      <c r="D20" s="26">
        <f>D14</f>
        <v>1522.6274024712425</v>
      </c>
    </row>
    <row r="21" spans="1:4" ht="12.75">
      <c r="A21" s="25" t="s">
        <v>149</v>
      </c>
      <c r="B21" s="25"/>
      <c r="C21" s="50"/>
      <c r="D21" s="26">
        <f>D19-D20</f>
        <v>652.5546010591042</v>
      </c>
    </row>
    <row r="22" spans="1:4" ht="12.75">
      <c r="A22" s="25" t="s">
        <v>150</v>
      </c>
      <c r="B22" s="38">
        <v>0.3</v>
      </c>
      <c r="C22" s="50"/>
      <c r="D22" s="25"/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e Honorários Contábeis</dc:title>
  <dc:subject/>
  <dc:creator/>
  <cp:keywords/>
  <dc:description/>
  <cp:lastModifiedBy>Portal Tributário Editora</cp:lastModifiedBy>
  <cp:lastPrinted>2005-06-02T18:30:26Z</cp:lastPrinted>
  <dcterms:created xsi:type="dcterms:W3CDTF">2001-08-22T08:10:35Z</dcterms:created>
  <dcterms:modified xsi:type="dcterms:W3CDTF">2009-02-19T11:21:12Z</dcterms:modified>
  <cp:category/>
  <cp:version/>
  <cp:contentType/>
  <cp:contentStatus/>
</cp:coreProperties>
</file>